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icca\Documents\università\esami\insurance e econometrics\progetti\Insurance-project\"/>
    </mc:Choice>
  </mc:AlternateContent>
  <xr:revisionPtr revIDLastSave="0" documentId="13_ncr:1_{255A4F7B-4F1E-4C34-8EC3-5FAA61CF7A2E}" xr6:coauthVersionLast="47" xr6:coauthVersionMax="47" xr10:uidLastSave="{00000000-0000-0000-0000-000000000000}"/>
  <bookViews>
    <workbookView xWindow="-108" yWindow="-108" windowWidth="23256" windowHeight="12576" tabRatio="778" activeTab="11" xr2:uid="{00000000-000D-0000-FFFF-FFFF00000000}"/>
  </bookViews>
  <sheets>
    <sheet name="data" sheetId="1" r:id="rId1"/>
    <sheet name="plain_case" sheetId="2" r:id="rId2"/>
    <sheet name="interest rate up" sheetId="3" r:id="rId3"/>
    <sheet name="interest rate down" sheetId="5" r:id="rId4"/>
    <sheet name="interest rate scr" sheetId="6" r:id="rId5"/>
    <sheet name="equity" sheetId="7" r:id="rId6"/>
    <sheet name="spread" sheetId="8" r:id="rId7"/>
    <sheet name="mortality" sheetId="9" r:id="rId8"/>
    <sheet name="lapse up" sheetId="10" r:id="rId9"/>
    <sheet name="lapse down" sheetId="11" r:id="rId10"/>
    <sheet name="lapse mass" sheetId="12" r:id="rId11"/>
    <sheet name="lapse scr" sheetId="13" r:id="rId12"/>
    <sheet name="CAT" sheetId="14" r:id="rId13"/>
    <sheet name="life" sheetId="15" r:id="rId14"/>
    <sheet name="market up" sheetId="16" r:id="rId15"/>
    <sheet name="market down" sheetId="17" r:id="rId16"/>
    <sheet name="market" sheetId="18" r:id="rId17"/>
    <sheet name="basic SCR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9" l="1" a="1"/>
  <c r="F5" i="19" s="1"/>
  <c r="F2" i="19" a="1"/>
  <c r="F2" i="19" s="1"/>
  <c r="J3" i="19"/>
  <c r="J2" i="19"/>
  <c r="E3" i="19"/>
  <c r="A2" i="19" a="1"/>
  <c r="A2" i="19" s="1"/>
  <c r="A5" i="19" s="1" a="1"/>
  <c r="A5" i="19" s="1"/>
  <c r="E2" i="19"/>
  <c r="B2" i="18"/>
  <c r="A2" i="18"/>
  <c r="O4" i="17"/>
  <c r="G4" i="17"/>
  <c r="O3" i="17"/>
  <c r="G3" i="17"/>
  <c r="O2" i="17"/>
  <c r="I2" i="17" a="1"/>
  <c r="I2" i="17" s="1"/>
  <c r="I6" i="17" s="1" a="1"/>
  <c r="I6" i="17" s="1"/>
  <c r="G2" i="17"/>
  <c r="A2" i="17" a="1"/>
  <c r="A2" i="17" s="1"/>
  <c r="A6" i="17" s="1" a="1"/>
  <c r="A6" i="17" s="1"/>
  <c r="I6" i="16" a="1"/>
  <c r="I6" i="16" s="1"/>
  <c r="I2" i="16" a="1"/>
  <c r="I2" i="16" s="1"/>
  <c r="O2" i="16"/>
  <c r="O3" i="16"/>
  <c r="O4" i="16"/>
  <c r="G4" i="16"/>
  <c r="G3" i="16"/>
  <c r="G2" i="16"/>
  <c r="A2" i="16" a="1"/>
  <c r="A2" i="16" s="1"/>
  <c r="A6" i="16" s="1" a="1"/>
  <c r="A6" i="16" s="1"/>
  <c r="I6" i="15" a="1"/>
  <c r="I6" i="15" s="1"/>
  <c r="A6" i="15" a="1"/>
  <c r="A6" i="15" s="1"/>
  <c r="I2" i="15" a="1"/>
  <c r="I2" i="15" s="1"/>
  <c r="O2" i="15"/>
  <c r="O3" i="15"/>
  <c r="O4" i="15"/>
  <c r="G4" i="15"/>
  <c r="G3" i="15"/>
  <c r="G2" i="15"/>
  <c r="A2" i="15" s="1" a="1"/>
  <c r="A2" i="15" s="1"/>
  <c r="A4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5" i="14"/>
  <c r="B22" i="14"/>
  <c r="B21" i="14" s="1"/>
  <c r="G3" i="14"/>
  <c r="G4" i="14" s="1"/>
  <c r="C3" i="14"/>
  <c r="C4" i="14" s="1"/>
  <c r="C5" i="14" s="1"/>
  <c r="C6" i="14" s="1"/>
  <c r="C7" i="14" s="1"/>
  <c r="C8" i="14" s="1"/>
  <c r="C9" i="14" s="1"/>
  <c r="C10" i="14" s="1"/>
  <c r="C11" i="14" s="1"/>
  <c r="C12" i="14" s="1"/>
  <c r="C13" i="14" s="1"/>
  <c r="C14" i="14" s="1"/>
  <c r="C15" i="14" s="1"/>
  <c r="C16" i="14" s="1"/>
  <c r="C17" i="14" s="1"/>
  <c r="C18" i="14" s="1"/>
  <c r="C19" i="14" s="1"/>
  <c r="C20" i="14" s="1"/>
  <c r="C21" i="14" s="1"/>
  <c r="C22" i="14" s="1"/>
  <c r="C2" i="14"/>
  <c r="A2" i="14"/>
  <c r="B2" i="13"/>
  <c r="A2" i="13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5" i="12"/>
  <c r="A4" i="12"/>
  <c r="B22" i="12"/>
  <c r="B21" i="12" s="1"/>
  <c r="G3" i="12"/>
  <c r="C3" i="12"/>
  <c r="C4" i="12" s="1"/>
  <c r="C5" i="12" s="1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C21" i="12" s="1"/>
  <c r="C22" i="12" s="1"/>
  <c r="C2" i="12"/>
  <c r="A2" i="12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4" i="11"/>
  <c r="G3" i="11" s="1"/>
  <c r="G4" i="11" s="1"/>
  <c r="B22" i="11"/>
  <c r="B21" i="11" s="1"/>
  <c r="C2" i="11"/>
  <c r="C3" i="11" s="1"/>
  <c r="C4" i="11" s="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A2" i="11"/>
  <c r="R2" i="10"/>
  <c r="P2" i="10"/>
  <c r="O2" i="10"/>
  <c r="Q2" i="10" s="1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G4" i="10"/>
  <c r="G5" i="10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3" i="10"/>
  <c r="H2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4" i="10"/>
  <c r="B22" i="10"/>
  <c r="B21" i="10" s="1"/>
  <c r="C2" i="10"/>
  <c r="C3" i="10" s="1"/>
  <c r="C4" i="10" s="1"/>
  <c r="C5" i="10" s="1"/>
  <c r="C6" i="10" s="1"/>
  <c r="C7" i="10" s="1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A2" i="10"/>
  <c r="P2" i="9"/>
  <c r="R2" i="9" s="1"/>
  <c r="O2" i="9"/>
  <c r="Q2" i="9" s="1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" i="9"/>
  <c r="G4" i="9"/>
  <c r="G5" i="9" s="1"/>
  <c r="G6" i="9" s="1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3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4" i="9"/>
  <c r="B22" i="9"/>
  <c r="B21" i="9" s="1"/>
  <c r="C3" i="9"/>
  <c r="C4" i="9" s="1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" i="9"/>
  <c r="A2" i="9"/>
  <c r="R2" i="8"/>
  <c r="P2" i="8"/>
  <c r="O2" i="8"/>
  <c r="Q2" i="8" s="1"/>
  <c r="B20" i="8"/>
  <c r="B19" i="8" s="1"/>
  <c r="B18" i="8" s="1"/>
  <c r="B17" i="8" s="1"/>
  <c r="B16" i="8" s="1"/>
  <c r="B15" i="8" s="1"/>
  <c r="B14" i="8" s="1"/>
  <c r="B13" i="8" s="1"/>
  <c r="B12" i="8" s="1"/>
  <c r="B11" i="8" s="1"/>
  <c r="B10" i="8" s="1"/>
  <c r="B9" i="8" s="1"/>
  <c r="B8" i="8" s="1"/>
  <c r="B7" i="8" s="1"/>
  <c r="B6" i="8" s="1"/>
  <c r="B5" i="8" s="1"/>
  <c r="B4" i="8" s="1"/>
  <c r="B3" i="8" s="1"/>
  <c r="B2" i="8" s="1"/>
  <c r="B21" i="8"/>
  <c r="B20" i="2"/>
  <c r="B19" i="2" s="1"/>
  <c r="B18" i="2" s="1"/>
  <c r="B17" i="2" s="1"/>
  <c r="B16" i="2" s="1"/>
  <c r="B15" i="2" s="1"/>
  <c r="B14" i="2" s="1"/>
  <c r="B13" i="2" s="1"/>
  <c r="B12" i="2" s="1"/>
  <c r="B11" i="2" s="1"/>
  <c r="B10" i="2" s="1"/>
  <c r="B9" i="2" s="1"/>
  <c r="B8" i="2" s="1"/>
  <c r="B7" i="2" s="1"/>
  <c r="B6" i="2" s="1"/>
  <c r="B5" i="2" s="1"/>
  <c r="B4" i="2" s="1"/>
  <c r="B3" i="2" s="1"/>
  <c r="B2" i="2" s="1"/>
  <c r="B21" i="2"/>
  <c r="A2" i="8"/>
  <c r="A6" i="8"/>
  <c r="A4" i="8"/>
  <c r="B22" i="8"/>
  <c r="G4" i="8"/>
  <c r="G5" i="8" s="1"/>
  <c r="G3" i="8"/>
  <c r="H3" i="8" s="1"/>
  <c r="C3" i="8"/>
  <c r="C4" i="8" s="1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H2" i="8"/>
  <c r="C2" i="8"/>
  <c r="L22" i="7"/>
  <c r="K22" i="7"/>
  <c r="K4" i="7"/>
  <c r="L4" i="7"/>
  <c r="K5" i="7"/>
  <c r="L5" i="7"/>
  <c r="K6" i="7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L6" i="7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3" i="7"/>
  <c r="K3" i="7"/>
  <c r="L2" i="7"/>
  <c r="K2" i="7"/>
  <c r="J22" i="7"/>
  <c r="I22" i="7"/>
  <c r="I4" i="7"/>
  <c r="J4" i="7"/>
  <c r="I5" i="7"/>
  <c r="J5" i="7"/>
  <c r="I6" i="7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3" i="7"/>
  <c r="I3" i="7"/>
  <c r="J2" i="7"/>
  <c r="I2" i="7"/>
  <c r="C2" i="7"/>
  <c r="C3" i="7" s="1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B22" i="7"/>
  <c r="B21" i="7" s="1"/>
  <c r="G4" i="7"/>
  <c r="G5" i="7" s="1"/>
  <c r="G3" i="7"/>
  <c r="H3" i="7" s="1"/>
  <c r="H2" i="7"/>
  <c r="A2" i="7"/>
  <c r="D19" i="5"/>
  <c r="C19" i="5"/>
  <c r="C18" i="5"/>
  <c r="C17" i="5"/>
  <c r="C13" i="5"/>
  <c r="C11" i="5"/>
  <c r="C10" i="5"/>
  <c r="C9" i="5"/>
  <c r="D7" i="5"/>
  <c r="C7" i="5"/>
  <c r="C5" i="5"/>
  <c r="C4" i="5"/>
  <c r="C3" i="5"/>
  <c r="F22" i="5"/>
  <c r="D21" i="5"/>
  <c r="C21" i="5"/>
  <c r="D20" i="5"/>
  <c r="D15" i="5"/>
  <c r="C15" i="5"/>
  <c r="D14" i="5"/>
  <c r="C14" i="5"/>
  <c r="D13" i="5"/>
  <c r="D11" i="5"/>
  <c r="D6" i="5"/>
  <c r="C6" i="5"/>
  <c r="D5" i="5"/>
  <c r="K3" i="5"/>
  <c r="L3" i="5" s="1"/>
  <c r="L2" i="5"/>
  <c r="G2" i="5"/>
  <c r="E2" i="5"/>
  <c r="K3" i="3"/>
  <c r="K4" i="3" s="1"/>
  <c r="K5" i="3" s="1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L3" i="3"/>
  <c r="L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G2" i="3"/>
  <c r="F22" i="3"/>
  <c r="E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H3" i="14" l="1"/>
  <c r="B20" i="14"/>
  <c r="D21" i="14"/>
  <c r="G5" i="14"/>
  <c r="G6" i="14" s="1"/>
  <c r="G7" i="14" s="1"/>
  <c r="G8" i="14" s="1"/>
  <c r="H4" i="14"/>
  <c r="H2" i="14"/>
  <c r="D22" i="14"/>
  <c r="F22" i="14" s="1"/>
  <c r="E22" i="14" s="1"/>
  <c r="H3" i="12"/>
  <c r="G4" i="12"/>
  <c r="G5" i="12" s="1"/>
  <c r="B20" i="12"/>
  <c r="D21" i="12"/>
  <c r="D22" i="12"/>
  <c r="F22" i="12" s="1"/>
  <c r="E22" i="12" s="1"/>
  <c r="H2" i="12"/>
  <c r="H3" i="11"/>
  <c r="H4" i="11"/>
  <c r="G5" i="11"/>
  <c r="B20" i="11"/>
  <c r="D21" i="11"/>
  <c r="H2" i="11"/>
  <c r="D22" i="11"/>
  <c r="B20" i="10"/>
  <c r="D21" i="10"/>
  <c r="D22" i="10"/>
  <c r="F22" i="10" s="1"/>
  <c r="E22" i="10" s="1"/>
  <c r="B20" i="9"/>
  <c r="D21" i="9"/>
  <c r="D22" i="9"/>
  <c r="F22" i="9" s="1"/>
  <c r="E22" i="9" s="1"/>
  <c r="D21" i="8"/>
  <c r="H5" i="8"/>
  <c r="G6" i="8"/>
  <c r="D22" i="8"/>
  <c r="F22" i="8" s="1"/>
  <c r="E22" i="8" s="1"/>
  <c r="H4" i="8"/>
  <c r="N2" i="7"/>
  <c r="H5" i="7"/>
  <c r="G6" i="7"/>
  <c r="B20" i="7"/>
  <c r="D21" i="7"/>
  <c r="D22" i="7"/>
  <c r="H4" i="7"/>
  <c r="C8" i="5"/>
  <c r="D8" i="5"/>
  <c r="D16" i="5"/>
  <c r="D9" i="5"/>
  <c r="D10" i="5"/>
  <c r="D18" i="5"/>
  <c r="D3" i="5"/>
  <c r="C2" i="5"/>
  <c r="D2" i="5"/>
  <c r="C12" i="5"/>
  <c r="C20" i="5"/>
  <c r="D17" i="5"/>
  <c r="D4" i="5"/>
  <c r="D12" i="5"/>
  <c r="C16" i="5"/>
  <c r="G3" i="5"/>
  <c r="G4" i="5" s="1"/>
  <c r="G5" i="5" s="1"/>
  <c r="G6" i="5" s="1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H22" i="5" s="1"/>
  <c r="F21" i="5"/>
  <c r="K4" i="5"/>
  <c r="F21" i="3"/>
  <c r="F20" i="3" s="1"/>
  <c r="F19" i="3" s="1"/>
  <c r="F18" i="3" s="1"/>
  <c r="F17" i="3" s="1"/>
  <c r="F16" i="3" s="1"/>
  <c r="F15" i="3" s="1"/>
  <c r="F14" i="3" s="1"/>
  <c r="F13" i="3" s="1"/>
  <c r="F12" i="3" s="1"/>
  <c r="F11" i="3" s="1"/>
  <c r="F10" i="3" s="1"/>
  <c r="F9" i="3" s="1"/>
  <c r="F8" i="3" s="1"/>
  <c r="F7" i="3" s="1"/>
  <c r="F6" i="3" s="1"/>
  <c r="F5" i="3" s="1"/>
  <c r="F4" i="3" s="1"/>
  <c r="F3" i="3" s="1"/>
  <c r="F2" i="3" s="1"/>
  <c r="G3" i="3"/>
  <c r="G4" i="3" s="1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H22" i="3" s="1"/>
  <c r="G9" i="14" l="1"/>
  <c r="H8" i="14"/>
  <c r="H7" i="14"/>
  <c r="H6" i="14"/>
  <c r="B19" i="14"/>
  <c r="D20" i="14"/>
  <c r="F21" i="14" s="1"/>
  <c r="E21" i="14" s="1"/>
  <c r="H5" i="14"/>
  <c r="H4" i="12"/>
  <c r="B19" i="12"/>
  <c r="D20" i="12"/>
  <c r="H5" i="12"/>
  <c r="G6" i="12"/>
  <c r="F21" i="12"/>
  <c r="E21" i="12" s="1"/>
  <c r="B19" i="11"/>
  <c r="D20" i="11"/>
  <c r="H5" i="11"/>
  <c r="G6" i="11"/>
  <c r="F22" i="11"/>
  <c r="E22" i="11" s="1"/>
  <c r="B19" i="10"/>
  <c r="D20" i="10"/>
  <c r="B19" i="9"/>
  <c r="D20" i="9"/>
  <c r="H6" i="8"/>
  <c r="G7" i="8"/>
  <c r="D20" i="8"/>
  <c r="M2" i="7"/>
  <c r="K23" i="7"/>
  <c r="L23" i="7"/>
  <c r="F22" i="7"/>
  <c r="E22" i="7" s="1"/>
  <c r="D20" i="7"/>
  <c r="B19" i="7"/>
  <c r="H6" i="7"/>
  <c r="G7" i="7"/>
  <c r="H21" i="5"/>
  <c r="J22" i="5" s="1"/>
  <c r="I22" i="5" s="1"/>
  <c r="F20" i="5"/>
  <c r="H20" i="5" s="1"/>
  <c r="K5" i="5"/>
  <c r="L4" i="5"/>
  <c r="L5" i="3"/>
  <c r="L4" i="3"/>
  <c r="H21" i="3"/>
  <c r="J22" i="3" s="1"/>
  <c r="H20" i="3"/>
  <c r="B18" i="14" l="1"/>
  <c r="D19" i="14"/>
  <c r="F20" i="14"/>
  <c r="E20" i="14" s="1"/>
  <c r="G10" i="14"/>
  <c r="H9" i="14"/>
  <c r="B18" i="12"/>
  <c r="D19" i="12"/>
  <c r="G7" i="12"/>
  <c r="H6" i="12"/>
  <c r="F20" i="12"/>
  <c r="E20" i="12" s="1"/>
  <c r="G7" i="11"/>
  <c r="H6" i="11"/>
  <c r="D19" i="11"/>
  <c r="B18" i="11"/>
  <c r="F21" i="11"/>
  <c r="E21" i="11" s="1"/>
  <c r="F21" i="10"/>
  <c r="E21" i="10" s="1"/>
  <c r="B18" i="10"/>
  <c r="D19" i="10"/>
  <c r="B18" i="9"/>
  <c r="D19" i="9"/>
  <c r="F21" i="9"/>
  <c r="E21" i="9" s="1"/>
  <c r="F21" i="8"/>
  <c r="E21" i="8" s="1"/>
  <c r="D19" i="8"/>
  <c r="G8" i="8"/>
  <c r="H7" i="8"/>
  <c r="B18" i="7"/>
  <c r="D19" i="7"/>
  <c r="F20" i="7"/>
  <c r="E20" i="7" s="1"/>
  <c r="G8" i="7"/>
  <c r="H7" i="7"/>
  <c r="F21" i="7"/>
  <c r="E21" i="7" s="1"/>
  <c r="F19" i="5"/>
  <c r="J21" i="5"/>
  <c r="I21" i="5" s="1"/>
  <c r="F18" i="5"/>
  <c r="H19" i="5"/>
  <c r="J20" i="5" s="1"/>
  <c r="I20" i="5" s="1"/>
  <c r="L5" i="5"/>
  <c r="K6" i="5"/>
  <c r="I22" i="3"/>
  <c r="L7" i="3"/>
  <c r="L6" i="3"/>
  <c r="H19" i="3"/>
  <c r="J20" i="3" s="1"/>
  <c r="I20" i="3" s="1"/>
  <c r="J21" i="3"/>
  <c r="I21" i="3" s="1"/>
  <c r="G11" i="14" l="1"/>
  <c r="H10" i="14"/>
  <c r="B17" i="14"/>
  <c r="D18" i="14"/>
  <c r="G8" i="12"/>
  <c r="H7" i="12"/>
  <c r="D18" i="12"/>
  <c r="B17" i="12"/>
  <c r="F20" i="11"/>
  <c r="E20" i="11" s="1"/>
  <c r="B17" i="11"/>
  <c r="D18" i="11"/>
  <c r="G8" i="11"/>
  <c r="H7" i="11"/>
  <c r="B17" i="10"/>
  <c r="D18" i="10"/>
  <c r="F20" i="10"/>
  <c r="E20" i="10" s="1"/>
  <c r="F20" i="9"/>
  <c r="E20" i="9" s="1"/>
  <c r="B17" i="9"/>
  <c r="D18" i="9"/>
  <c r="G9" i="8"/>
  <c r="H8" i="8"/>
  <c r="D18" i="8"/>
  <c r="F20" i="8"/>
  <c r="E20" i="8" s="1"/>
  <c r="G9" i="7"/>
  <c r="H8" i="7"/>
  <c r="B17" i="7"/>
  <c r="D18" i="7"/>
  <c r="F19" i="7" s="1"/>
  <c r="E19" i="7" s="1"/>
  <c r="L6" i="5"/>
  <c r="K7" i="5"/>
  <c r="F17" i="5"/>
  <c r="H18" i="5"/>
  <c r="L8" i="3"/>
  <c r="H18" i="3"/>
  <c r="B16" i="14" l="1"/>
  <c r="D17" i="14"/>
  <c r="F19" i="14"/>
  <c r="E19" i="14" s="1"/>
  <c r="G12" i="14"/>
  <c r="H11" i="14"/>
  <c r="B16" i="12"/>
  <c r="D17" i="12"/>
  <c r="F18" i="12"/>
  <c r="E18" i="12" s="1"/>
  <c r="G9" i="12"/>
  <c r="H8" i="12"/>
  <c r="F19" i="12"/>
  <c r="E19" i="12" s="1"/>
  <c r="G9" i="11"/>
  <c r="H8" i="11"/>
  <c r="B16" i="11"/>
  <c r="D17" i="11"/>
  <c r="F19" i="11"/>
  <c r="E19" i="11" s="1"/>
  <c r="F18" i="10"/>
  <c r="E18" i="10" s="1"/>
  <c r="D17" i="10"/>
  <c r="B16" i="10"/>
  <c r="F19" i="10"/>
  <c r="E19" i="10" s="1"/>
  <c r="F18" i="9"/>
  <c r="E18" i="9" s="1"/>
  <c r="D17" i="9"/>
  <c r="B16" i="9"/>
  <c r="F19" i="9"/>
  <c r="E19" i="9" s="1"/>
  <c r="F18" i="8"/>
  <c r="E18" i="8" s="1"/>
  <c r="D17" i="8"/>
  <c r="F19" i="8"/>
  <c r="E19" i="8" s="1"/>
  <c r="G10" i="8"/>
  <c r="H9" i="8"/>
  <c r="D17" i="7"/>
  <c r="B16" i="7"/>
  <c r="H9" i="7"/>
  <c r="G10" i="7"/>
  <c r="F16" i="5"/>
  <c r="H17" i="5"/>
  <c r="J19" i="5"/>
  <c r="I19" i="5" s="1"/>
  <c r="L7" i="5"/>
  <c r="K8" i="5"/>
  <c r="L9" i="3"/>
  <c r="H17" i="3"/>
  <c r="J19" i="3"/>
  <c r="I19" i="3" s="1"/>
  <c r="G13" i="14" l="1"/>
  <c r="H12" i="14"/>
  <c r="B15" i="14"/>
  <c r="D16" i="14"/>
  <c r="F18" i="14"/>
  <c r="E18" i="14" s="1"/>
  <c r="H9" i="12"/>
  <c r="G10" i="12"/>
  <c r="B15" i="12"/>
  <c r="D16" i="12"/>
  <c r="B15" i="11"/>
  <c r="D16" i="11"/>
  <c r="F18" i="11"/>
  <c r="E18" i="11" s="1"/>
  <c r="H9" i="11"/>
  <c r="G10" i="11"/>
  <c r="B15" i="10"/>
  <c r="D16" i="10"/>
  <c r="F17" i="10"/>
  <c r="E17" i="10" s="1"/>
  <c r="B15" i="9"/>
  <c r="D16" i="9"/>
  <c r="F17" i="9"/>
  <c r="E17" i="9" s="1"/>
  <c r="H10" i="8"/>
  <c r="G11" i="8"/>
  <c r="D16" i="8"/>
  <c r="F17" i="8" s="1"/>
  <c r="E17" i="8" s="1"/>
  <c r="H10" i="7"/>
  <c r="G11" i="7"/>
  <c r="B15" i="7"/>
  <c r="D16" i="7"/>
  <c r="F17" i="7" s="1"/>
  <c r="E17" i="7" s="1"/>
  <c r="F18" i="7"/>
  <c r="E18" i="7" s="1"/>
  <c r="L8" i="5"/>
  <c r="K9" i="5"/>
  <c r="F15" i="5"/>
  <c r="H16" i="5"/>
  <c r="J18" i="5"/>
  <c r="I18" i="5" s="1"/>
  <c r="L10" i="3"/>
  <c r="H16" i="3"/>
  <c r="J17" i="3" s="1"/>
  <c r="I17" i="3" s="1"/>
  <c r="J18" i="3"/>
  <c r="I18" i="3" s="1"/>
  <c r="B14" i="14" l="1"/>
  <c r="D15" i="14"/>
  <c r="F17" i="14"/>
  <c r="E17" i="14" s="1"/>
  <c r="G14" i="14"/>
  <c r="H13" i="14"/>
  <c r="B14" i="12"/>
  <c r="D15" i="12"/>
  <c r="F17" i="12"/>
  <c r="E17" i="12" s="1"/>
  <c r="G11" i="12"/>
  <c r="H10" i="12"/>
  <c r="G11" i="11"/>
  <c r="H10" i="11"/>
  <c r="D15" i="11"/>
  <c r="B14" i="11"/>
  <c r="F17" i="11"/>
  <c r="E17" i="11" s="1"/>
  <c r="B14" i="10"/>
  <c r="D15" i="10"/>
  <c r="B14" i="9"/>
  <c r="D15" i="9"/>
  <c r="D15" i="8"/>
  <c r="G12" i="8"/>
  <c r="H11" i="8"/>
  <c r="B14" i="7"/>
  <c r="D15" i="7"/>
  <c r="G12" i="7"/>
  <c r="H11" i="7"/>
  <c r="H15" i="5"/>
  <c r="F14" i="5"/>
  <c r="J17" i="5"/>
  <c r="I17" i="5" s="1"/>
  <c r="K10" i="5"/>
  <c r="L9" i="5"/>
  <c r="L11" i="3"/>
  <c r="H15" i="3"/>
  <c r="G15" i="14" l="1"/>
  <c r="H14" i="14"/>
  <c r="B13" i="14"/>
  <c r="D14" i="14"/>
  <c r="F16" i="14"/>
  <c r="E16" i="14" s="1"/>
  <c r="H11" i="12"/>
  <c r="G12" i="12"/>
  <c r="B13" i="12"/>
  <c r="D14" i="12"/>
  <c r="F16" i="12"/>
  <c r="E16" i="12" s="1"/>
  <c r="B13" i="11"/>
  <c r="D14" i="11"/>
  <c r="F15" i="11"/>
  <c r="E15" i="11" s="1"/>
  <c r="F16" i="11"/>
  <c r="E16" i="11" s="1"/>
  <c r="G12" i="11"/>
  <c r="H11" i="11"/>
  <c r="D14" i="10"/>
  <c r="B13" i="10"/>
  <c r="F16" i="10"/>
  <c r="E16" i="10" s="1"/>
  <c r="F15" i="9"/>
  <c r="E15" i="9" s="1"/>
  <c r="D14" i="9"/>
  <c r="B13" i="9"/>
  <c r="F16" i="9"/>
  <c r="E16" i="9" s="1"/>
  <c r="G13" i="8"/>
  <c r="H12" i="8"/>
  <c r="D14" i="8"/>
  <c r="F16" i="8"/>
  <c r="E16" i="8" s="1"/>
  <c r="H12" i="7"/>
  <c r="G13" i="7"/>
  <c r="D14" i="7"/>
  <c r="B13" i="7"/>
  <c r="F16" i="7"/>
  <c r="E16" i="7" s="1"/>
  <c r="L10" i="5"/>
  <c r="K11" i="5"/>
  <c r="F13" i="5"/>
  <c r="H14" i="5"/>
  <c r="J15" i="5" s="1"/>
  <c r="I15" i="5" s="1"/>
  <c r="J16" i="5"/>
  <c r="I16" i="5" s="1"/>
  <c r="L12" i="3"/>
  <c r="H14" i="3"/>
  <c r="J16" i="3"/>
  <c r="I16" i="3" s="1"/>
  <c r="B12" i="14" l="1"/>
  <c r="D13" i="14"/>
  <c r="F15" i="14"/>
  <c r="E15" i="14" s="1"/>
  <c r="G16" i="14"/>
  <c r="H15" i="14"/>
  <c r="B12" i="12"/>
  <c r="D13" i="12"/>
  <c r="F15" i="12"/>
  <c r="E15" i="12" s="1"/>
  <c r="G13" i="12"/>
  <c r="H12" i="12"/>
  <c r="G13" i="11"/>
  <c r="H12" i="11"/>
  <c r="B12" i="11"/>
  <c r="D13" i="11"/>
  <c r="B12" i="10"/>
  <c r="D13" i="10"/>
  <c r="F15" i="10"/>
  <c r="E15" i="10" s="1"/>
  <c r="D13" i="9"/>
  <c r="B12" i="9"/>
  <c r="D13" i="8"/>
  <c r="F14" i="8" s="1"/>
  <c r="E14" i="8" s="1"/>
  <c r="F15" i="8"/>
  <c r="E15" i="8" s="1"/>
  <c r="H13" i="8"/>
  <c r="G14" i="8"/>
  <c r="B12" i="7"/>
  <c r="D13" i="7"/>
  <c r="F15" i="7"/>
  <c r="E15" i="7" s="1"/>
  <c r="H13" i="7"/>
  <c r="G14" i="7"/>
  <c r="H13" i="5"/>
  <c r="F12" i="5"/>
  <c r="L11" i="5"/>
  <c r="K12" i="5"/>
  <c r="L13" i="3"/>
  <c r="H13" i="3"/>
  <c r="J15" i="3"/>
  <c r="I15" i="3" s="1"/>
  <c r="G17" i="14" l="1"/>
  <c r="H16" i="14"/>
  <c r="B11" i="14"/>
  <c r="D12" i="14"/>
  <c r="F13" i="14"/>
  <c r="F14" i="14"/>
  <c r="H13" i="12"/>
  <c r="G14" i="12"/>
  <c r="F13" i="12"/>
  <c r="E13" i="12" s="1"/>
  <c r="B11" i="12"/>
  <c r="D12" i="12"/>
  <c r="F14" i="12"/>
  <c r="E14" i="12" s="1"/>
  <c r="F14" i="11"/>
  <c r="E14" i="11" s="1"/>
  <c r="H13" i="11"/>
  <c r="G14" i="11"/>
  <c r="B11" i="11"/>
  <c r="D12" i="11"/>
  <c r="F14" i="10"/>
  <c r="E14" i="10" s="1"/>
  <c r="B11" i="10"/>
  <c r="D12" i="10"/>
  <c r="B11" i="9"/>
  <c r="D12" i="9"/>
  <c r="F13" i="9"/>
  <c r="F14" i="9"/>
  <c r="E14" i="9" s="1"/>
  <c r="G15" i="8"/>
  <c r="H14" i="8"/>
  <c r="D12" i="8"/>
  <c r="G15" i="7"/>
  <c r="H14" i="7"/>
  <c r="F14" i="7"/>
  <c r="E14" i="7" s="1"/>
  <c r="B11" i="7"/>
  <c r="D12" i="7"/>
  <c r="F11" i="5"/>
  <c r="H12" i="5"/>
  <c r="J13" i="5" s="1"/>
  <c r="I13" i="5" s="1"/>
  <c r="J14" i="5"/>
  <c r="I14" i="5" s="1"/>
  <c r="L12" i="5"/>
  <c r="K13" i="5"/>
  <c r="L14" i="3"/>
  <c r="H12" i="3"/>
  <c r="J14" i="3"/>
  <c r="I14" i="3" s="1"/>
  <c r="E14" i="14" l="1"/>
  <c r="B10" i="14"/>
  <c r="D11" i="14"/>
  <c r="E13" i="14"/>
  <c r="G18" i="14"/>
  <c r="H17" i="14"/>
  <c r="B10" i="12"/>
  <c r="D11" i="12"/>
  <c r="G15" i="12"/>
  <c r="H14" i="12"/>
  <c r="D11" i="11"/>
  <c r="B10" i="11"/>
  <c r="G15" i="11"/>
  <c r="H14" i="11"/>
  <c r="F13" i="11"/>
  <c r="D11" i="10"/>
  <c r="B10" i="10"/>
  <c r="F13" i="10"/>
  <c r="E13" i="9"/>
  <c r="D11" i="9"/>
  <c r="F12" i="9" s="1"/>
  <c r="B10" i="9"/>
  <c r="D11" i="8"/>
  <c r="F12" i="8" s="1"/>
  <c r="F13" i="8"/>
  <c r="H15" i="8"/>
  <c r="G16" i="8"/>
  <c r="D11" i="7"/>
  <c r="F12" i="7" s="1"/>
  <c r="E12" i="7" s="1"/>
  <c r="B10" i="7"/>
  <c r="F13" i="7"/>
  <c r="E13" i="7" s="1"/>
  <c r="H15" i="7"/>
  <c r="G16" i="7"/>
  <c r="K14" i="5"/>
  <c r="L13" i="5"/>
  <c r="F10" i="5"/>
  <c r="H11" i="5"/>
  <c r="L15" i="3"/>
  <c r="H11" i="3"/>
  <c r="J13" i="3"/>
  <c r="I13" i="3" s="1"/>
  <c r="G19" i="14" l="1"/>
  <c r="H18" i="14"/>
  <c r="B9" i="14"/>
  <c r="D10" i="14"/>
  <c r="F12" i="14"/>
  <c r="G16" i="12"/>
  <c r="H15" i="12"/>
  <c r="F12" i="12"/>
  <c r="D10" i="12"/>
  <c r="B9" i="12"/>
  <c r="B9" i="11"/>
  <c r="D10" i="11"/>
  <c r="F11" i="11"/>
  <c r="E13" i="11"/>
  <c r="G16" i="11"/>
  <c r="H15" i="11"/>
  <c r="F12" i="11"/>
  <c r="B9" i="10"/>
  <c r="D10" i="10"/>
  <c r="F11" i="10"/>
  <c r="E13" i="10"/>
  <c r="F12" i="10"/>
  <c r="E12" i="9"/>
  <c r="B9" i="9"/>
  <c r="D10" i="9"/>
  <c r="F11" i="9"/>
  <c r="H16" i="8"/>
  <c r="G17" i="8"/>
  <c r="D10" i="8"/>
  <c r="F11" i="8" s="1"/>
  <c r="E13" i="8"/>
  <c r="E12" i="8"/>
  <c r="H16" i="7"/>
  <c r="G17" i="7"/>
  <c r="B9" i="7"/>
  <c r="D10" i="7"/>
  <c r="F11" i="7" s="1"/>
  <c r="E11" i="7" s="1"/>
  <c r="H10" i="5"/>
  <c r="F9" i="5"/>
  <c r="J12" i="5"/>
  <c r="L14" i="5"/>
  <c r="K15" i="5"/>
  <c r="L16" i="3"/>
  <c r="H10" i="3"/>
  <c r="J12" i="3"/>
  <c r="I12" i="3" s="1"/>
  <c r="L17" i="3"/>
  <c r="E12" i="14" l="1"/>
  <c r="B8" i="14"/>
  <c r="D9" i="14"/>
  <c r="F11" i="14"/>
  <c r="G20" i="14"/>
  <c r="H19" i="14"/>
  <c r="B8" i="12"/>
  <c r="D9" i="12"/>
  <c r="F10" i="12"/>
  <c r="E12" i="12"/>
  <c r="F11" i="12"/>
  <c r="G17" i="12"/>
  <c r="H16" i="12"/>
  <c r="E12" i="11"/>
  <c r="G17" i="11"/>
  <c r="H16" i="11"/>
  <c r="E11" i="11"/>
  <c r="F10" i="11"/>
  <c r="B8" i="11"/>
  <c r="D9" i="11"/>
  <c r="E12" i="10"/>
  <c r="E11" i="10"/>
  <c r="F10" i="10"/>
  <c r="B8" i="10"/>
  <c r="D9" i="10"/>
  <c r="E11" i="9"/>
  <c r="B8" i="9"/>
  <c r="D9" i="9"/>
  <c r="E11" i="8"/>
  <c r="D9" i="8"/>
  <c r="F10" i="8" s="1"/>
  <c r="G18" i="8"/>
  <c r="H17" i="8"/>
  <c r="B8" i="7"/>
  <c r="D9" i="7"/>
  <c r="G18" i="7"/>
  <c r="H17" i="7"/>
  <c r="K16" i="5"/>
  <c r="L15" i="5"/>
  <c r="I12" i="5"/>
  <c r="H9" i="5"/>
  <c r="J10" i="5" s="1"/>
  <c r="F8" i="5"/>
  <c r="J11" i="5"/>
  <c r="L18" i="3"/>
  <c r="H9" i="3"/>
  <c r="J11" i="3"/>
  <c r="I11" i="3" s="1"/>
  <c r="G21" i="14" l="1"/>
  <c r="H20" i="14"/>
  <c r="E11" i="14"/>
  <c r="B7" i="14"/>
  <c r="D8" i="14"/>
  <c r="F10" i="14"/>
  <c r="H17" i="12"/>
  <c r="G18" i="12"/>
  <c r="E11" i="12"/>
  <c r="E10" i="12"/>
  <c r="F9" i="12"/>
  <c r="B7" i="12"/>
  <c r="D8" i="12"/>
  <c r="B7" i="11"/>
  <c r="D8" i="11"/>
  <c r="E10" i="11"/>
  <c r="H17" i="11"/>
  <c r="G18" i="11"/>
  <c r="F9" i="11"/>
  <c r="B7" i="10"/>
  <c r="D8" i="10"/>
  <c r="E10" i="10"/>
  <c r="F9" i="10"/>
  <c r="B7" i="9"/>
  <c r="D8" i="9"/>
  <c r="F10" i="9"/>
  <c r="E10" i="8"/>
  <c r="H18" i="8"/>
  <c r="G19" i="8"/>
  <c r="D8" i="8"/>
  <c r="H18" i="7"/>
  <c r="G19" i="7"/>
  <c r="B7" i="7"/>
  <c r="D8" i="7"/>
  <c r="F10" i="7"/>
  <c r="E10" i="7" s="1"/>
  <c r="I11" i="5"/>
  <c r="I10" i="5"/>
  <c r="F7" i="5"/>
  <c r="H8" i="5"/>
  <c r="J9" i="5"/>
  <c r="L16" i="5"/>
  <c r="K17" i="5"/>
  <c r="H8" i="3"/>
  <c r="J10" i="3"/>
  <c r="I10" i="3" s="1"/>
  <c r="L19" i="3"/>
  <c r="E10" i="14" l="1"/>
  <c r="B6" i="14"/>
  <c r="D7" i="14"/>
  <c r="F9" i="14"/>
  <c r="H21" i="14"/>
  <c r="G22" i="14"/>
  <c r="E9" i="12"/>
  <c r="G19" i="12"/>
  <c r="H18" i="12"/>
  <c r="B6" i="12"/>
  <c r="D7" i="12"/>
  <c r="F8" i="12"/>
  <c r="E9" i="11"/>
  <c r="G19" i="11"/>
  <c r="H18" i="11"/>
  <c r="F8" i="11"/>
  <c r="D7" i="11"/>
  <c r="B6" i="11"/>
  <c r="E9" i="10"/>
  <c r="F8" i="10"/>
  <c r="B6" i="10"/>
  <c r="D7" i="10"/>
  <c r="E10" i="9"/>
  <c r="F8" i="9"/>
  <c r="B6" i="9"/>
  <c r="D7" i="9"/>
  <c r="F9" i="9"/>
  <c r="D7" i="8"/>
  <c r="F9" i="8"/>
  <c r="H19" i="8"/>
  <c r="G20" i="8"/>
  <c r="B6" i="7"/>
  <c r="D7" i="7"/>
  <c r="F9" i="7"/>
  <c r="E9" i="7" s="1"/>
  <c r="H19" i="7"/>
  <c r="G20" i="7"/>
  <c r="I9" i="5"/>
  <c r="H7" i="5"/>
  <c r="J8" i="5" s="1"/>
  <c r="F6" i="5"/>
  <c r="L17" i="5"/>
  <c r="K18" i="5"/>
  <c r="L20" i="3"/>
  <c r="H7" i="3"/>
  <c r="J8" i="3" s="1"/>
  <c r="I8" i="3" s="1"/>
  <c r="J9" i="3"/>
  <c r="I9" i="3" s="1"/>
  <c r="E9" i="14" l="1"/>
  <c r="F7" i="14"/>
  <c r="B5" i="14"/>
  <c r="D6" i="14"/>
  <c r="F8" i="14"/>
  <c r="E8" i="12"/>
  <c r="D6" i="12"/>
  <c r="B5" i="12"/>
  <c r="H19" i="12"/>
  <c r="G20" i="12"/>
  <c r="B5" i="11"/>
  <c r="D6" i="11"/>
  <c r="F7" i="11"/>
  <c r="E8" i="11"/>
  <c r="G20" i="11"/>
  <c r="H19" i="11"/>
  <c r="B5" i="10"/>
  <c r="D6" i="10"/>
  <c r="E8" i="10"/>
  <c r="E9" i="9"/>
  <c r="B5" i="9"/>
  <c r="D6" i="9"/>
  <c r="E8" i="9"/>
  <c r="G21" i="8"/>
  <c r="H20" i="8"/>
  <c r="E9" i="8"/>
  <c r="D6" i="8"/>
  <c r="F8" i="8"/>
  <c r="G21" i="7"/>
  <c r="H20" i="7"/>
  <c r="D6" i="7"/>
  <c r="B5" i="7"/>
  <c r="F8" i="7"/>
  <c r="E8" i="7" s="1"/>
  <c r="L18" i="5"/>
  <c r="K19" i="5"/>
  <c r="F5" i="5"/>
  <c r="H6" i="5"/>
  <c r="J7" i="5" s="1"/>
  <c r="I8" i="5"/>
  <c r="H6" i="3"/>
  <c r="J7" i="3" s="1"/>
  <c r="I7" i="3" s="1"/>
  <c r="L21" i="3"/>
  <c r="E8" i="14" l="1"/>
  <c r="B4" i="14"/>
  <c r="D5" i="14"/>
  <c r="E7" i="14"/>
  <c r="G21" i="12"/>
  <c r="H20" i="12"/>
  <c r="B4" i="12"/>
  <c r="D5" i="12"/>
  <c r="F6" i="12" s="1"/>
  <c r="F7" i="12"/>
  <c r="G21" i="11"/>
  <c r="H20" i="11"/>
  <c r="E7" i="11"/>
  <c r="B4" i="11"/>
  <c r="D5" i="11"/>
  <c r="B4" i="10"/>
  <c r="D5" i="10"/>
  <c r="F7" i="10"/>
  <c r="B4" i="9"/>
  <c r="D5" i="9"/>
  <c r="F7" i="9"/>
  <c r="E8" i="8"/>
  <c r="D5" i="8"/>
  <c r="F7" i="8"/>
  <c r="H21" i="8"/>
  <c r="G22" i="8"/>
  <c r="B4" i="7"/>
  <c r="D5" i="7"/>
  <c r="F6" i="7" s="1"/>
  <c r="E6" i="7" s="1"/>
  <c r="F7" i="7"/>
  <c r="E7" i="7" s="1"/>
  <c r="H21" i="7"/>
  <c r="G22" i="7"/>
  <c r="I7" i="5"/>
  <c r="F4" i="5"/>
  <c r="H5" i="5"/>
  <c r="L19" i="5"/>
  <c r="K20" i="5"/>
  <c r="H5" i="3"/>
  <c r="B3" i="14" l="1"/>
  <c r="D4" i="14"/>
  <c r="F6" i="14"/>
  <c r="E6" i="12"/>
  <c r="E7" i="12"/>
  <c r="B3" i="12"/>
  <c r="D4" i="12"/>
  <c r="G22" i="12"/>
  <c r="H21" i="12"/>
  <c r="F5" i="11"/>
  <c r="B3" i="11"/>
  <c r="D4" i="11"/>
  <c r="F6" i="11"/>
  <c r="H21" i="11"/>
  <c r="G22" i="11"/>
  <c r="E7" i="10"/>
  <c r="B3" i="10"/>
  <c r="D4" i="10"/>
  <c r="F6" i="10"/>
  <c r="E7" i="9"/>
  <c r="F5" i="9"/>
  <c r="D4" i="9"/>
  <c r="B3" i="9"/>
  <c r="F6" i="9"/>
  <c r="E7" i="8"/>
  <c r="D4" i="8"/>
  <c r="F5" i="8" s="1"/>
  <c r="F6" i="8"/>
  <c r="B3" i="7"/>
  <c r="D4" i="7"/>
  <c r="K21" i="5"/>
  <c r="L20" i="5"/>
  <c r="F3" i="5"/>
  <c r="H4" i="5"/>
  <c r="J6" i="5"/>
  <c r="H4" i="3"/>
  <c r="J6" i="3"/>
  <c r="I6" i="3" s="1"/>
  <c r="E6" i="14" l="1"/>
  <c r="D3" i="14"/>
  <c r="B2" i="14"/>
  <c r="D2" i="14" s="1"/>
  <c r="F5" i="14"/>
  <c r="D3" i="12"/>
  <c r="B2" i="12"/>
  <c r="D2" i="12" s="1"/>
  <c r="F5" i="12"/>
  <c r="E6" i="11"/>
  <c r="B2" i="11"/>
  <c r="D2" i="11" s="1"/>
  <c r="D3" i="11"/>
  <c r="F3" i="11" s="1"/>
  <c r="E5" i="11"/>
  <c r="E6" i="10"/>
  <c r="B2" i="10"/>
  <c r="D2" i="10" s="1"/>
  <c r="D3" i="10"/>
  <c r="F5" i="10"/>
  <c r="E6" i="9"/>
  <c r="B2" i="9"/>
  <c r="D2" i="9" s="1"/>
  <c r="D3" i="9"/>
  <c r="F3" i="9" s="1"/>
  <c r="F4" i="9"/>
  <c r="E5" i="9"/>
  <c r="E5" i="8"/>
  <c r="E6" i="8"/>
  <c r="D2" i="8"/>
  <c r="D3" i="8"/>
  <c r="F4" i="8" s="1"/>
  <c r="D3" i="7"/>
  <c r="B2" i="7"/>
  <c r="D2" i="7" s="1"/>
  <c r="F5" i="7"/>
  <c r="E5" i="7" s="1"/>
  <c r="I6" i="5"/>
  <c r="F2" i="5"/>
  <c r="H2" i="5" s="1"/>
  <c r="H3" i="5"/>
  <c r="J5" i="5"/>
  <c r="L21" i="5"/>
  <c r="K22" i="5"/>
  <c r="H2" i="3"/>
  <c r="H3" i="3"/>
  <c r="J4" i="3" s="1"/>
  <c r="J5" i="3"/>
  <c r="E5" i="14" l="1"/>
  <c r="F3" i="14"/>
  <c r="F4" i="14"/>
  <c r="F3" i="12"/>
  <c r="F4" i="12"/>
  <c r="E5" i="12"/>
  <c r="E3" i="11"/>
  <c r="J2" i="11"/>
  <c r="L2" i="11"/>
  <c r="F4" i="11"/>
  <c r="E5" i="10"/>
  <c r="F3" i="10"/>
  <c r="F4" i="10"/>
  <c r="E4" i="9"/>
  <c r="E3" i="9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N2" i="9" s="1"/>
  <c r="E4" i="8"/>
  <c r="F3" i="8"/>
  <c r="F3" i="7"/>
  <c r="E3" i="7" s="1"/>
  <c r="F4" i="7"/>
  <c r="E4" i="7" s="1"/>
  <c r="I5" i="5"/>
  <c r="J3" i="5"/>
  <c r="J4" i="5"/>
  <c r="I5" i="3"/>
  <c r="I4" i="3"/>
  <c r="J3" i="3"/>
  <c r="E4" i="14" l="1"/>
  <c r="E3" i="14"/>
  <c r="J2" i="14"/>
  <c r="J3" i="14" s="1"/>
  <c r="J4" i="14" s="1"/>
  <c r="J5" i="14" s="1"/>
  <c r="J6" i="14" s="1"/>
  <c r="J7" i="14" s="1"/>
  <c r="J8" i="14" s="1"/>
  <c r="J9" i="14" s="1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N2" i="14" s="1"/>
  <c r="P2" i="14" s="1"/>
  <c r="R2" i="14" s="1"/>
  <c r="L2" i="14"/>
  <c r="L3" i="14" s="1"/>
  <c r="L4" i="14" s="1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E4" i="12"/>
  <c r="E3" i="12"/>
  <c r="L2" i="12"/>
  <c r="L3" i="12" s="1"/>
  <c r="L4" i="12" s="1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J2" i="12"/>
  <c r="J3" i="12" s="1"/>
  <c r="J4" i="12" s="1"/>
  <c r="J5" i="12" s="1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N2" i="12" s="1"/>
  <c r="P2" i="12" s="1"/>
  <c r="R2" i="12" s="1"/>
  <c r="E4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N2" i="11" s="1"/>
  <c r="P2" i="11" s="1"/>
  <c r="R2" i="11" s="1"/>
  <c r="L3" i="1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K2" i="11"/>
  <c r="I2" i="11"/>
  <c r="E4" i="10"/>
  <c r="E3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N2" i="10" s="1"/>
  <c r="L23" i="9"/>
  <c r="K2" i="9"/>
  <c r="I2" i="9"/>
  <c r="I3" i="9" s="1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M2" i="9" s="1"/>
  <c r="K3" i="9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E3" i="8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J2" i="8"/>
  <c r="J3" i="8" s="1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N2" i="8" s="1"/>
  <c r="I3" i="5"/>
  <c r="P2" i="5"/>
  <c r="N2" i="5"/>
  <c r="N3" i="5" s="1"/>
  <c r="N4" i="5" s="1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R2" i="5" s="1"/>
  <c r="I4" i="5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I3" i="3"/>
  <c r="N2" i="3"/>
  <c r="N3" i="3" s="1"/>
  <c r="N4" i="3" s="1"/>
  <c r="N5" i="3" s="1"/>
  <c r="N6" i="3" s="1"/>
  <c r="N7" i="3" s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R2" i="3" s="1"/>
  <c r="P2" i="3"/>
  <c r="P3" i="3" s="1"/>
  <c r="P4" i="3" s="1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L23" i="14" l="1"/>
  <c r="K2" i="14"/>
  <c r="K3" i="14" s="1"/>
  <c r="K4" i="14" s="1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I2" i="14"/>
  <c r="I3" i="14" s="1"/>
  <c r="I4" i="14" s="1"/>
  <c r="I5" i="14" s="1"/>
  <c r="I6" i="14" s="1"/>
  <c r="I7" i="14" s="1"/>
  <c r="I8" i="14" s="1"/>
  <c r="I9" i="14" s="1"/>
  <c r="I10" i="14" s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M2" i="14" s="1"/>
  <c r="O2" i="14" s="1"/>
  <c r="Q2" i="14" s="1"/>
  <c r="L23" i="12"/>
  <c r="I2" i="12"/>
  <c r="I3" i="12" s="1"/>
  <c r="I4" i="12" s="1"/>
  <c r="I5" i="12" s="1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M2" i="12" s="1"/>
  <c r="O2" i="12" s="1"/>
  <c r="Q2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K13" i="12" s="1"/>
  <c r="K14" i="12" s="1"/>
  <c r="K15" i="12" s="1"/>
  <c r="K16" i="12" s="1"/>
  <c r="K17" i="12" s="1"/>
  <c r="K18" i="12" s="1"/>
  <c r="K19" i="12" s="1"/>
  <c r="K20" i="12" s="1"/>
  <c r="K21" i="12" s="1"/>
  <c r="K22" i="12" s="1"/>
  <c r="L23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M2" i="11" s="1"/>
  <c r="O2" i="11" s="1"/>
  <c r="Q2" i="11" s="1"/>
  <c r="K3" i="11"/>
  <c r="K4" i="11" s="1"/>
  <c r="K5" i="11" s="1"/>
  <c r="K6" i="11" s="1"/>
  <c r="K7" i="11" s="1"/>
  <c r="K8" i="11" s="1"/>
  <c r="K9" i="11" s="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K20" i="11" s="1"/>
  <c r="K21" i="11" s="1"/>
  <c r="K22" i="11" s="1"/>
  <c r="K23" i="11" s="1"/>
  <c r="L23" i="10"/>
  <c r="K2" i="10"/>
  <c r="I2" i="10"/>
  <c r="I3" i="10" s="1"/>
  <c r="I4" i="10" s="1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M2" i="10" s="1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9"/>
  <c r="L23" i="8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M2" i="8" s="1"/>
  <c r="K2" i="8"/>
  <c r="K3" i="8" s="1"/>
  <c r="K4" i="8" s="1"/>
  <c r="K5" i="8" s="1"/>
  <c r="K6" i="8" s="1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P23" i="5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Q2" i="5" s="1"/>
  <c r="O2" i="5"/>
  <c r="O3" i="5" s="1"/>
  <c r="O4" i="5" s="1"/>
  <c r="O5" i="5" s="1"/>
  <c r="O6" i="5" s="1"/>
  <c r="O7" i="5" s="1"/>
  <c r="O8" i="5" s="1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P23" i="3"/>
  <c r="M2" i="3"/>
  <c r="M3" i="3" s="1"/>
  <c r="M4" i="3" s="1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Q2" i="3" s="1"/>
  <c r="O2" i="3"/>
  <c r="O3" i="3" s="1"/>
  <c r="O4" i="3" s="1"/>
  <c r="O5" i="3" s="1"/>
  <c r="O6" i="3" s="1"/>
  <c r="O7" i="3" s="1"/>
  <c r="O8" i="3" s="1"/>
  <c r="O9" i="3" s="1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K23" i="14" l="1"/>
  <c r="K23" i="12"/>
  <c r="K23" i="10"/>
  <c r="O23" i="5"/>
  <c r="O23" i="3"/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" i="2"/>
  <c r="G4" i="2"/>
  <c r="G5" i="2" s="1"/>
  <c r="G3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C2" i="2"/>
  <c r="C3" i="2" s="1"/>
  <c r="C4" i="2" s="1"/>
  <c r="C5" i="2" s="1"/>
  <c r="C6" i="2" s="1"/>
  <c r="C7" i="2" s="1"/>
  <c r="C8" i="2" s="1"/>
  <c r="C9" i="2" s="1"/>
  <c r="C10" i="2" s="1"/>
  <c r="A2" i="2"/>
  <c r="B22" i="2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3" i="1"/>
  <c r="F2" i="1"/>
  <c r="G6" i="2" l="1"/>
  <c r="C11" i="2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D22" i="2" s="1"/>
  <c r="G7" i="2" l="1"/>
  <c r="D21" i="2"/>
  <c r="G8" i="2" l="1"/>
  <c r="D20" i="2"/>
  <c r="F22" i="2"/>
  <c r="E22" i="2" l="1"/>
  <c r="G9" i="2"/>
  <c r="D19" i="2"/>
  <c r="F20" i="2" s="1"/>
  <c r="E20" i="2" s="1"/>
  <c r="F21" i="2"/>
  <c r="E21" i="2" s="1"/>
  <c r="G10" i="2" l="1"/>
  <c r="D18" i="2"/>
  <c r="G11" i="2" l="1"/>
  <c r="D17" i="2"/>
  <c r="F19" i="2"/>
  <c r="E19" i="2" s="1"/>
  <c r="G12" i="2" l="1"/>
  <c r="D16" i="2"/>
  <c r="F18" i="2"/>
  <c r="E18" i="2" s="1"/>
  <c r="G13" i="2" l="1"/>
  <c r="D15" i="2"/>
  <c r="F17" i="2"/>
  <c r="E17" i="2" s="1"/>
  <c r="G14" i="2" l="1"/>
  <c r="D14" i="2"/>
  <c r="F16" i="2"/>
  <c r="E16" i="2" s="1"/>
  <c r="G15" i="2" l="1"/>
  <c r="D13" i="2"/>
  <c r="F15" i="2"/>
  <c r="E15" i="2" s="1"/>
  <c r="G16" i="2" l="1"/>
  <c r="D12" i="2"/>
  <c r="F14" i="2"/>
  <c r="E14" i="2" s="1"/>
  <c r="G17" i="2" l="1"/>
  <c r="D11" i="2"/>
  <c r="F13" i="2"/>
  <c r="E13" i="2" s="1"/>
  <c r="G18" i="2" l="1"/>
  <c r="D10" i="2"/>
  <c r="F12" i="2"/>
  <c r="E12" i="2" s="1"/>
  <c r="G19" i="2" l="1"/>
  <c r="D9" i="2"/>
  <c r="F11" i="2"/>
  <c r="E11" i="2" s="1"/>
  <c r="G20" i="2" l="1"/>
  <c r="D8" i="2"/>
  <c r="F10" i="2"/>
  <c r="E10" i="2" s="1"/>
  <c r="G21" i="2" l="1"/>
  <c r="D7" i="2"/>
  <c r="F9" i="2"/>
  <c r="E9" i="2" s="1"/>
  <c r="G22" i="2" l="1"/>
  <c r="D6" i="2"/>
  <c r="F8" i="2"/>
  <c r="E8" i="2" s="1"/>
  <c r="D5" i="2" l="1"/>
  <c r="F7" i="2"/>
  <c r="E7" i="2" l="1"/>
  <c r="D4" i="2"/>
  <c r="F6" i="2"/>
  <c r="E6" i="2" l="1"/>
  <c r="D2" i="2"/>
  <c r="D3" i="2"/>
  <c r="F5" i="2"/>
  <c r="E5" i="2" l="1"/>
  <c r="F3" i="2"/>
  <c r="F4" i="2"/>
  <c r="E4" i="2" l="1"/>
  <c r="E3" i="2"/>
  <c r="L2" i="2"/>
  <c r="L3" i="2" s="1"/>
  <c r="L4" i="2" s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J2" i="2"/>
  <c r="J3" i="2" s="1"/>
  <c r="J4" i="2" s="1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N2" i="2" s="1"/>
  <c r="T2" i="3" l="1"/>
  <c r="V2" i="3" s="1"/>
  <c r="P2" i="7"/>
  <c r="R2" i="7" s="1"/>
  <c r="T2" i="5"/>
  <c r="V2" i="5" s="1"/>
  <c r="L23" i="2"/>
  <c r="K2" i="2"/>
  <c r="K3" i="2" s="1"/>
  <c r="K4" i="2" s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I2" i="2"/>
  <c r="I3" i="2" s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M2" i="2" s="1"/>
  <c r="K23" i="2" l="1"/>
  <c r="S2" i="3"/>
  <c r="U2" i="3" s="1"/>
  <c r="O2" i="7"/>
  <c r="Q2" i="7" s="1"/>
  <c r="S2" i="5"/>
  <c r="U2" i="5" s="1"/>
  <c r="B2" i="6"/>
  <c r="A2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<sst xmlns="http://schemas.openxmlformats.org/spreadsheetml/2006/main" count="232" uniqueCount="40">
  <si>
    <t>C0</t>
  </si>
  <si>
    <t>F0</t>
  </si>
  <si>
    <t>B0</t>
  </si>
  <si>
    <t>BT</t>
  </si>
  <si>
    <t>T</t>
  </si>
  <si>
    <t>S0</t>
  </si>
  <si>
    <t>rates</t>
  </si>
  <si>
    <t>qx</t>
  </si>
  <si>
    <t>lx</t>
  </si>
  <si>
    <t>fwd</t>
  </si>
  <si>
    <t>t</t>
  </si>
  <si>
    <t>bond</t>
  </si>
  <si>
    <t>spread</t>
  </si>
  <si>
    <t>equity</t>
  </si>
  <si>
    <t>sigma</t>
  </si>
  <si>
    <t>disc fact</t>
  </si>
  <si>
    <t>F</t>
  </si>
  <si>
    <t>C_A</t>
  </si>
  <si>
    <t>C_B</t>
  </si>
  <si>
    <t>P</t>
  </si>
  <si>
    <t>Pi</t>
  </si>
  <si>
    <t>qxpermille</t>
  </si>
  <si>
    <t>macA</t>
  </si>
  <si>
    <t>macB</t>
  </si>
  <si>
    <t>BofA</t>
  </si>
  <si>
    <t>BofB</t>
  </si>
  <si>
    <t>liabilitiesA</t>
  </si>
  <si>
    <t>liabilitiesB</t>
  </si>
  <si>
    <t>dBofB</t>
  </si>
  <si>
    <t>dBofA</t>
  </si>
  <si>
    <t>SCRA</t>
  </si>
  <si>
    <t>SCRB</t>
  </si>
  <si>
    <t>scrA</t>
  </si>
  <si>
    <t>scrB</t>
  </si>
  <si>
    <t>equity shock</t>
  </si>
  <si>
    <t>fspread</t>
  </si>
  <si>
    <t>B0shock</t>
  </si>
  <si>
    <t>scrAlapse</t>
  </si>
  <si>
    <t>scrBlapse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</si>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</sst>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0" fillId="0" borderId="0" xfId="0" applyNumberFormat="1" applyFont="1"/>
    <xf numFmtId="0" fontId="0" fillId="0" borderId="2" xfId="0" applyBorder="1"/>
    <xf numFmtId="0" fontId="0" fillId="0" borderId="3" xfId="0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5" xfId="0" applyNumberFormat="1" applyBorder="1"/>
    <xf numFmtId="0" fontId="0" fillId="0" borderId="4" xfId="0" applyBorder="1"/>
    <xf numFmtId="164" fontId="0" fillId="0" borderId="4" xfId="0" applyNumberFormat="1" applyBorder="1"/>
    <xf numFmtId="2" fontId="0" fillId="0" borderId="4" xfId="0" applyNumberFormat="1" applyBorder="1"/>
    <xf numFmtId="0" fontId="0" fillId="0" borderId="7" xfId="0" applyBorder="1"/>
    <xf numFmtId="0" fontId="0" fillId="0" borderId="6" xfId="0" applyBorder="1"/>
    <xf numFmtId="0" fontId="0" fillId="0" borderId="7" xfId="0" applyFill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1" applyNumberFormat="1" applyFont="1"/>
    <xf numFmtId="0" fontId="0" fillId="0" borderId="9" xfId="0" applyBorder="1"/>
    <xf numFmtId="164" fontId="0" fillId="0" borderId="8" xfId="0" applyNumberFormat="1" applyBorder="1"/>
    <xf numFmtId="0" fontId="0" fillId="0" borderId="8" xfId="0" applyBorder="1"/>
    <xf numFmtId="2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2" fontId="0" fillId="0" borderId="9" xfId="0" applyNumberFormat="1" applyBorder="1"/>
    <xf numFmtId="2" fontId="0" fillId="0" borderId="6" xfId="0" applyNumberFormat="1" applyBorder="1"/>
    <xf numFmtId="0" fontId="0" fillId="0" borderId="9" xfId="0" applyFill="1" applyBorder="1"/>
    <xf numFmtId="0" fontId="0" fillId="0" borderId="6" xfId="0" applyFill="1" applyBorder="1"/>
    <xf numFmtId="164" fontId="0" fillId="0" borderId="14" xfId="0" applyNumberFormat="1" applyBorder="1"/>
    <xf numFmtId="164" fontId="0" fillId="0" borderId="12" xfId="0" applyNumberFormat="1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2" fontId="0" fillId="0" borderId="11" xfId="0" applyNumberFormat="1" applyBorder="1"/>
    <xf numFmtId="2" fontId="0" fillId="0" borderId="14" xfId="0" applyNumberFormat="1" applyBorder="1"/>
    <xf numFmtId="2" fontId="0" fillId="0" borderId="12" xfId="0" applyNumberFormat="1" applyBorder="1"/>
    <xf numFmtId="164" fontId="0" fillId="0" borderId="9" xfId="0" applyNumberFormat="1" applyBorder="1"/>
    <xf numFmtId="164" fontId="0" fillId="0" borderId="6" xfId="0" applyNumberFormat="1" applyBorder="1"/>
    <xf numFmtId="164" fontId="0" fillId="0" borderId="11" xfId="0" applyNumberFormat="1" applyBorder="1"/>
    <xf numFmtId="164" fontId="0" fillId="0" borderId="1" xfId="0" applyNumberFormat="1" applyBorder="1"/>
    <xf numFmtId="0" fontId="0" fillId="0" borderId="1" xfId="0" applyBorder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K2" sqref="K2"/>
    </sheetView>
  </sheetViews>
  <sheetFormatPr defaultRowHeight="14.4" x14ac:dyDescent="0.3"/>
  <cols>
    <col min="4" max="4" width="9.109375" bestFit="1" customWidth="1"/>
    <col min="9" max="9" width="9.44140625" bestFit="1" customWidth="1"/>
  </cols>
  <sheetData>
    <row r="1" spans="1:11" x14ac:dyDescent="0.3">
      <c r="A1" t="s">
        <v>0</v>
      </c>
      <c r="B1">
        <v>1000</v>
      </c>
      <c r="D1" t="s">
        <v>10</v>
      </c>
      <c r="E1" t="s">
        <v>6</v>
      </c>
      <c r="F1" t="s">
        <v>9</v>
      </c>
      <c r="G1" t="s">
        <v>15</v>
      </c>
      <c r="I1" t="s">
        <v>21</v>
      </c>
      <c r="J1" t="s">
        <v>7</v>
      </c>
      <c r="K1" t="s">
        <v>8</v>
      </c>
    </row>
    <row r="2" spans="1:11" x14ac:dyDescent="0.3">
      <c r="A2" t="s">
        <v>1</v>
      </c>
      <c r="B2">
        <v>1000</v>
      </c>
      <c r="D2">
        <v>1</v>
      </c>
      <c r="E2" s="1">
        <v>-5.6499999999999996E-3</v>
      </c>
      <c r="F2" s="1">
        <f>-LN( (1+E2) ^ (-1))</f>
        <v>-5.6660216266269155E-3</v>
      </c>
      <c r="G2" s="1">
        <f>(1+E2)^(-D2)</f>
        <v>1.0056821038869614</v>
      </c>
      <c r="I2" s="1">
        <v>6.5374499999999998</v>
      </c>
      <c r="J2" s="3">
        <f>I2/1000</f>
        <v>6.5374499999999993E-3</v>
      </c>
      <c r="K2">
        <v>0.05</v>
      </c>
    </row>
    <row r="3" spans="1:11" x14ac:dyDescent="0.3">
      <c r="A3" t="s">
        <v>2</v>
      </c>
      <c r="B3">
        <v>800</v>
      </c>
      <c r="D3">
        <v>2</v>
      </c>
      <c r="E3" s="1">
        <v>-5.45E-3</v>
      </c>
      <c r="F3" s="1">
        <f>-LN((1+E2)^(D2)/((1+E3)^(D3)))</f>
        <v>-5.2637892355078056E-3</v>
      </c>
      <c r="G3" s="1">
        <f t="shared" ref="G3:G21" si="0">(1+E3)^(-D3)</f>
        <v>1.0109897594547261</v>
      </c>
      <c r="I3" s="1">
        <v>7.25631</v>
      </c>
      <c r="J3" s="3">
        <f t="shared" ref="J3:J21" si="1">I3/1000</f>
        <v>7.2563100000000002E-3</v>
      </c>
      <c r="K3">
        <v>0.05</v>
      </c>
    </row>
    <row r="4" spans="1:11" x14ac:dyDescent="0.3">
      <c r="A4" t="s">
        <v>3</v>
      </c>
      <c r="B4">
        <v>1000</v>
      </c>
      <c r="D4">
        <v>3</v>
      </c>
      <c r="E4" s="1">
        <v>-4.9500000000000004E-3</v>
      </c>
      <c r="F4" s="1">
        <f t="shared" ref="F4:F21" si="2">-LN((1+E3)^(D3)/((1+E4)^(D4)))</f>
        <v>-3.9570646273102954E-3</v>
      </c>
      <c r="G4" s="1">
        <f t="shared" si="0"/>
        <v>1.0149982369421608</v>
      </c>
      <c r="I4" s="1">
        <v>7.9703600000000003</v>
      </c>
      <c r="J4" s="3">
        <f t="shared" si="1"/>
        <v>7.970360000000001E-3</v>
      </c>
      <c r="K4">
        <v>0.05</v>
      </c>
    </row>
    <row r="5" spans="1:11" x14ac:dyDescent="0.3">
      <c r="A5" t="s">
        <v>4</v>
      </c>
      <c r="B5">
        <v>20</v>
      </c>
      <c r="D5">
        <v>4</v>
      </c>
      <c r="E5" s="1">
        <v>-4.3800000000000002E-3</v>
      </c>
      <c r="F5" s="1">
        <f t="shared" si="2"/>
        <v>-2.6716057167867108E-3</v>
      </c>
      <c r="G5" s="1">
        <f t="shared" si="0"/>
        <v>1.0177135375257522</v>
      </c>
      <c r="I5" s="1">
        <v>8.6371800000000007</v>
      </c>
      <c r="J5" s="3">
        <f t="shared" si="1"/>
        <v>8.6371800000000012E-3</v>
      </c>
      <c r="K5">
        <v>0.05</v>
      </c>
    </row>
    <row r="6" spans="1:11" x14ac:dyDescent="0.3">
      <c r="A6" t="s">
        <v>5</v>
      </c>
      <c r="B6">
        <v>200</v>
      </c>
      <c r="D6">
        <v>5</v>
      </c>
      <c r="E6" s="1">
        <v>-3.5599999999999998E-3</v>
      </c>
      <c r="F6" s="1">
        <f t="shared" si="2"/>
        <v>-2.7327819181035526E-4</v>
      </c>
      <c r="G6" s="1">
        <f t="shared" si="0"/>
        <v>1.0179916944464473</v>
      </c>
      <c r="I6" s="1">
        <v>9.4652899999999995</v>
      </c>
      <c r="J6" s="3">
        <f t="shared" si="1"/>
        <v>9.4652899999999995E-3</v>
      </c>
      <c r="K6">
        <v>0.05</v>
      </c>
    </row>
    <row r="7" spans="1:11" x14ac:dyDescent="0.3">
      <c r="A7" t="s">
        <v>14</v>
      </c>
      <c r="B7">
        <v>0.15</v>
      </c>
      <c r="D7">
        <v>6</v>
      </c>
      <c r="E7" s="1">
        <v>-2.7599999999999999E-3</v>
      </c>
      <c r="F7" s="1">
        <f t="shared" si="2"/>
        <v>1.2488644616558237E-3</v>
      </c>
      <c r="G7" s="1">
        <f t="shared" si="0"/>
        <v>1.016721154328327</v>
      </c>
      <c r="I7" s="1">
        <v>10.50503</v>
      </c>
      <c r="J7" s="3">
        <f t="shared" si="1"/>
        <v>1.050503E-2</v>
      </c>
      <c r="K7">
        <v>0.05</v>
      </c>
    </row>
    <row r="8" spans="1:11" x14ac:dyDescent="0.3">
      <c r="D8">
        <v>7</v>
      </c>
      <c r="E8" s="1">
        <v>-2.0799999999999998E-3</v>
      </c>
      <c r="F8" s="1">
        <f t="shared" si="2"/>
        <v>2.0077315061145422E-3</v>
      </c>
      <c r="G8" s="1">
        <f t="shared" si="0"/>
        <v>1.0146818990573945</v>
      </c>
      <c r="I8" s="1">
        <v>11.577019999999999</v>
      </c>
      <c r="J8" s="3">
        <f t="shared" si="1"/>
        <v>1.1577019999999999E-2</v>
      </c>
      <c r="K8">
        <v>0.05</v>
      </c>
    </row>
    <row r="9" spans="1:11" x14ac:dyDescent="0.3">
      <c r="D9">
        <v>8</v>
      </c>
      <c r="E9" s="1">
        <v>-1.16E-3</v>
      </c>
      <c r="F9" s="1">
        <f t="shared" si="2"/>
        <v>5.2897768642571411E-3</v>
      </c>
      <c r="G9" s="1">
        <f t="shared" si="0"/>
        <v>1.0093286295066992</v>
      </c>
      <c r="I9" s="1">
        <v>12.9008</v>
      </c>
      <c r="J9" s="3">
        <f t="shared" si="1"/>
        <v>1.29008E-2</v>
      </c>
      <c r="K9">
        <v>0.05</v>
      </c>
    </row>
    <row r="10" spans="1:11" x14ac:dyDescent="0.3">
      <c r="D10">
        <v>9</v>
      </c>
      <c r="E10" s="1">
        <v>-5.4000000000000001E-4</v>
      </c>
      <c r="F10" s="1">
        <f t="shared" si="2"/>
        <v>4.424073893431418E-3</v>
      </c>
      <c r="G10" s="1">
        <f t="shared" si="0"/>
        <v>1.004873148023709</v>
      </c>
      <c r="I10" s="1">
        <v>14.16065</v>
      </c>
      <c r="J10" s="3">
        <f t="shared" si="1"/>
        <v>1.416065E-2</v>
      </c>
      <c r="K10">
        <v>0.05</v>
      </c>
    </row>
    <row r="11" spans="1:11" x14ac:dyDescent="0.3">
      <c r="D11">
        <v>10</v>
      </c>
      <c r="E11" s="1">
        <v>2.1000000000000001E-4</v>
      </c>
      <c r="F11" s="1">
        <f t="shared" si="2"/>
        <v>6.9610922034489863E-3</v>
      </c>
      <c r="G11" s="1">
        <f t="shared" si="0"/>
        <v>0.99790242346396896</v>
      </c>
      <c r="I11" s="1">
        <v>15.79119</v>
      </c>
      <c r="J11" s="3">
        <f t="shared" si="1"/>
        <v>1.579119E-2</v>
      </c>
      <c r="K11">
        <v>0.05</v>
      </c>
    </row>
    <row r="12" spans="1:11" x14ac:dyDescent="0.3">
      <c r="D12">
        <v>11</v>
      </c>
      <c r="E12" s="1">
        <v>8.4999999999999995E-4</v>
      </c>
      <c r="F12" s="1">
        <f t="shared" si="2"/>
        <v>7.2462489694917172E-3</v>
      </c>
      <c r="G12" s="1">
        <f t="shared" si="0"/>
        <v>0.99069750988144845</v>
      </c>
      <c r="I12" s="1">
        <v>16.664100000000001</v>
      </c>
      <c r="J12" s="3">
        <f t="shared" si="1"/>
        <v>1.6664100000000001E-2</v>
      </c>
      <c r="K12">
        <v>0.05</v>
      </c>
    </row>
    <row r="13" spans="1:11" x14ac:dyDescent="0.3">
      <c r="D13">
        <v>12</v>
      </c>
      <c r="E13" s="1">
        <v>1.49E-3</v>
      </c>
      <c r="F13" s="1">
        <f t="shared" si="2"/>
        <v>8.5206641166698256E-3</v>
      </c>
      <c r="G13" s="1">
        <f t="shared" si="0"/>
        <v>0.98229197040249216</v>
      </c>
      <c r="I13" s="1">
        <v>18.200209999999998</v>
      </c>
      <c r="J13" s="3">
        <f t="shared" si="1"/>
        <v>1.8200209999999998E-2</v>
      </c>
      <c r="K13">
        <v>0.05</v>
      </c>
    </row>
    <row r="14" spans="1:11" x14ac:dyDescent="0.3">
      <c r="D14">
        <v>13</v>
      </c>
      <c r="E14" s="1">
        <v>2.0300000000000001E-3</v>
      </c>
      <c r="F14" s="1">
        <f t="shared" si="2"/>
        <v>8.4965577280542437E-3</v>
      </c>
      <c r="G14" s="1">
        <f t="shared" si="0"/>
        <v>0.9739812263255947</v>
      </c>
      <c r="I14" s="1">
        <v>20.119879999999998</v>
      </c>
      <c r="J14" s="3">
        <f t="shared" si="1"/>
        <v>2.011988E-2</v>
      </c>
      <c r="K14">
        <v>0.05</v>
      </c>
    </row>
    <row r="15" spans="1:11" x14ac:dyDescent="0.3">
      <c r="D15">
        <v>14</v>
      </c>
      <c r="E15" s="1">
        <v>2.5200000000000001E-3</v>
      </c>
      <c r="F15" s="1">
        <f t="shared" si="2"/>
        <v>8.8723713947611166E-3</v>
      </c>
      <c r="G15" s="1">
        <f t="shared" si="0"/>
        <v>0.96537792543133094</v>
      </c>
      <c r="I15" s="1">
        <v>22.72833</v>
      </c>
      <c r="J15" s="3">
        <f t="shared" si="1"/>
        <v>2.2728329999999998E-2</v>
      </c>
      <c r="K15">
        <v>0.05</v>
      </c>
    </row>
    <row r="16" spans="1:11" x14ac:dyDescent="0.3">
      <c r="D16">
        <v>15</v>
      </c>
      <c r="E16" s="1">
        <v>2.99E-3</v>
      </c>
      <c r="F16" s="1">
        <f t="shared" si="2"/>
        <v>9.5474608656486853E-3</v>
      </c>
      <c r="G16" s="1">
        <f t="shared" si="0"/>
        <v>0.95620487680899158</v>
      </c>
      <c r="I16" s="1">
        <v>25.482009999999999</v>
      </c>
      <c r="J16" s="3">
        <f t="shared" si="1"/>
        <v>2.5482009999999999E-2</v>
      </c>
      <c r="K16">
        <v>0.05</v>
      </c>
    </row>
    <row r="17" spans="4:11" x14ac:dyDescent="0.3">
      <c r="D17">
        <v>16</v>
      </c>
      <c r="E17" s="1">
        <v>3.2799999999999999E-3</v>
      </c>
      <c r="F17" s="1">
        <f t="shared" si="2"/>
        <v>7.6110379330234807E-3</v>
      </c>
      <c r="G17" s="1">
        <f t="shared" si="0"/>
        <v>0.94895479055907705</v>
      </c>
      <c r="I17" s="1">
        <v>29.546220000000002</v>
      </c>
      <c r="J17" s="3">
        <f t="shared" si="1"/>
        <v>2.9546220000000002E-2</v>
      </c>
      <c r="K17">
        <v>0.05</v>
      </c>
    </row>
    <row r="18" spans="4:11" x14ac:dyDescent="0.3">
      <c r="D18">
        <v>17</v>
      </c>
      <c r="E18" s="1">
        <v>3.47E-3</v>
      </c>
      <c r="F18" s="1">
        <f t="shared" si="2"/>
        <v>6.4937679612432709E-3</v>
      </c>
      <c r="G18" s="1">
        <f t="shared" si="0"/>
        <v>0.94281246335193469</v>
      </c>
      <c r="I18" s="1">
        <v>32.53181</v>
      </c>
      <c r="J18" s="3">
        <f t="shared" si="1"/>
        <v>3.2531810000000001E-2</v>
      </c>
      <c r="K18">
        <v>0.05</v>
      </c>
    </row>
    <row r="19" spans="4:11" x14ac:dyDescent="0.3">
      <c r="D19">
        <v>18</v>
      </c>
      <c r="E19" s="1">
        <v>3.65E-3</v>
      </c>
      <c r="F19" s="1">
        <f t="shared" si="2"/>
        <v>6.6924999666158804E-3</v>
      </c>
      <c r="G19" s="1">
        <f t="shared" si="0"/>
        <v>0.93652375802486498</v>
      </c>
      <c r="I19" s="1">
        <v>35.693309999999997</v>
      </c>
      <c r="J19" s="3">
        <f t="shared" si="1"/>
        <v>3.5693309999999999E-2</v>
      </c>
      <c r="K19">
        <v>0.05</v>
      </c>
    </row>
    <row r="20" spans="4:11" x14ac:dyDescent="0.3">
      <c r="D20">
        <v>19</v>
      </c>
      <c r="E20" s="1">
        <v>3.8999999999999998E-3</v>
      </c>
      <c r="F20" s="1">
        <f t="shared" si="2"/>
        <v>8.3754911251590226E-3</v>
      </c>
      <c r="G20" s="1">
        <f t="shared" si="0"/>
        <v>0.92871266811964548</v>
      </c>
      <c r="I20" s="1">
        <v>39.260820000000002</v>
      </c>
      <c r="J20" s="3">
        <f t="shared" si="1"/>
        <v>3.9260820000000002E-2</v>
      </c>
      <c r="K20">
        <v>0.05</v>
      </c>
    </row>
    <row r="21" spans="4:11" x14ac:dyDescent="0.3">
      <c r="D21">
        <v>20</v>
      </c>
      <c r="E21" s="1">
        <v>4.2500000000000003E-3</v>
      </c>
      <c r="F21" s="1">
        <f t="shared" si="2"/>
        <v>1.0864005553558362E-2</v>
      </c>
      <c r="G21" s="1">
        <f t="shared" si="0"/>
        <v>0.91867773700808286</v>
      </c>
      <c r="I21" s="1">
        <v>42.964799999999997</v>
      </c>
      <c r="J21" s="3">
        <f t="shared" si="1"/>
        <v>4.2964799999999997E-2</v>
      </c>
      <c r="K21">
        <v>0.05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85FE-7615-40D0-942C-B929FD452613}">
  <dimension ref="A1:N23"/>
  <sheetViews>
    <sheetView workbookViewId="0">
      <selection sqref="A1:N23"/>
    </sheetView>
  </sheetViews>
  <sheetFormatPr defaultRowHeight="14.4" x14ac:dyDescent="0.3"/>
  <cols>
    <col min="5" max="6" width="9.44140625" bestFit="1" customWidth="1"/>
    <col min="8" max="8" width="9.21875" customWidth="1"/>
    <col min="9" max="10" width="9.44140625" bestFit="1" customWidth="1"/>
    <col min="11" max="12" width="12.44140625" bestFit="1" customWidth="1"/>
  </cols>
  <sheetData>
    <row r="1" spans="1:14" x14ac:dyDescent="0.3">
      <c r="A1" s="12" t="s">
        <v>12</v>
      </c>
      <c r="B1" s="12" t="s">
        <v>11</v>
      </c>
      <c r="C1" s="12" t="s">
        <v>13</v>
      </c>
      <c r="D1" s="12" t="s">
        <v>16</v>
      </c>
      <c r="E1" s="12" t="s">
        <v>17</v>
      </c>
      <c r="F1" s="12" t="s">
        <v>18</v>
      </c>
      <c r="G1" s="12" t="s">
        <v>19</v>
      </c>
      <c r="H1" s="13" t="s">
        <v>20</v>
      </c>
      <c r="I1" s="12" t="s">
        <v>26</v>
      </c>
      <c r="J1" s="12" t="s">
        <v>27</v>
      </c>
      <c r="K1" s="12" t="s">
        <v>22</v>
      </c>
      <c r="L1" s="13" t="s">
        <v>23</v>
      </c>
      <c r="M1" s="28" t="s">
        <v>24</v>
      </c>
      <c r="N1" s="29" t="s">
        <v>25</v>
      </c>
    </row>
    <row r="2" spans="1:14" x14ac:dyDescent="0.3">
      <c r="A2" s="1">
        <f>-LN(data!B3/data!B4)/data!B5-LN(1+data!E21)</f>
        <v>6.9161833084558722E-3</v>
      </c>
      <c r="B2" s="2">
        <f>B3*EXP(-(data!F2+$A$2))</f>
        <v>800.00000000000068</v>
      </c>
      <c r="C2" s="2">
        <f>data!B6</f>
        <v>200</v>
      </c>
      <c r="D2" s="2">
        <f>B2+C2</f>
        <v>1000.0000000000007</v>
      </c>
      <c r="G2">
        <v>1</v>
      </c>
      <c r="H2" s="10">
        <f>(data!J2+data!K2*(1-data!J2))*G2</f>
        <v>5.6210577500000004E-2</v>
      </c>
      <c r="I2" s="2">
        <f>data!$G2*$H2*E3</f>
        <v>56.529971840901105</v>
      </c>
      <c r="J2" s="2">
        <f>data!$G2*$H2*F3</f>
        <v>54.701001411760842</v>
      </c>
      <c r="K2" s="2">
        <f>data!$G2*$H2*E3*data!$D2</f>
        <v>56.529971840901105</v>
      </c>
      <c r="L2" s="2">
        <f>data!$G2*$H2*F3*data!$D2</f>
        <v>54.701001411760842</v>
      </c>
      <c r="M2" s="6">
        <f>$D2-I22</f>
        <v>-24.498991307101505</v>
      </c>
      <c r="N2" s="7">
        <f>$D2-J22</f>
        <v>-13.207629540903326</v>
      </c>
    </row>
    <row r="3" spans="1:14" x14ac:dyDescent="0.3">
      <c r="B3" s="2">
        <f>B4*EXP(-(data!F3+$A$2))</f>
        <v>801.00075476775532</v>
      </c>
      <c r="C3" s="2">
        <f>C2*EXP(data!F2-0.5*data!$B$7^2)</f>
        <v>196.64525018183591</v>
      </c>
      <c r="D3" s="2">
        <f t="shared" ref="D3:D22" si="0">B3+C3</f>
        <v>997.6460049495912</v>
      </c>
      <c r="E3" s="2">
        <f>MAX(F3,1000)</f>
        <v>1000</v>
      </c>
      <c r="F3" s="2">
        <f t="shared" ref="F3:F22" si="1">D3-D2*0.03</f>
        <v>967.6460049495912</v>
      </c>
      <c r="G3" s="1">
        <f>G2*(1-data!J2)*(1-data!K2)</f>
        <v>0.94378942249999997</v>
      </c>
      <c r="H3" s="10">
        <f>(data!J3+data!K3*(1-data!J3))*G3</f>
        <v>5.3695478318161925E-2</v>
      </c>
      <c r="I3" s="2">
        <f>data!$G3*$H3*E4+I2</f>
        <v>110.81555054958609</v>
      </c>
      <c r="J3" s="2">
        <f>data!$G3*$H3*F4+J2</f>
        <v>107.13113137934795</v>
      </c>
      <c r="K3" s="2">
        <f>data!$G3*$H3*E4*data!$D3+K2</f>
        <v>165.10112925827107</v>
      </c>
      <c r="L3" s="2">
        <f>data!$G3*$H3*F4*data!$D3+L2</f>
        <v>159.56126134693505</v>
      </c>
    </row>
    <row r="4" spans="1:14" x14ac:dyDescent="0.3">
      <c r="B4" s="2">
        <f>B5*EXP(-(data!F4+$A$2))</f>
        <v>802.32541779862527</v>
      </c>
      <c r="C4" s="2">
        <f>C3*EXP(data!F3-0.5*data!$B$7^2)</f>
        <v>193.42455807281033</v>
      </c>
      <c r="D4" s="2">
        <f t="shared" si="0"/>
        <v>995.74997587143559</v>
      </c>
      <c r="E4" s="2">
        <f t="shared" ref="E4:E22" si="2">MAX(F4,1000)</f>
        <v>1000</v>
      </c>
      <c r="F4" s="2">
        <f t="shared" si="1"/>
        <v>965.82059572294781</v>
      </c>
      <c r="G4" s="1">
        <f>G3*(1-data!J3)*(1-data!K3)</f>
        <v>0.89009394418183796</v>
      </c>
      <c r="H4" s="10">
        <f>(data!J4+data!K4*(1-data!J4))*G4</f>
        <v>5.1244347919593598E-2</v>
      </c>
      <c r="I4" s="2">
        <f>data!$G4*$H4*E5+I3</f>
        <v>162.82847334122428</v>
      </c>
      <c r="J4" s="2">
        <f>data!$G4*$H4*F5+J3</f>
        <v>157.34107828890973</v>
      </c>
      <c r="K4" s="2">
        <f>data!$G4*$H4*E5*data!$D4+K3</f>
        <v>321.13989763318568</v>
      </c>
      <c r="L4" s="2">
        <f>data!$G4*$H4*F5*data!$D4+L3</f>
        <v>310.19110207562039</v>
      </c>
    </row>
    <row r="5" spans="1:14" x14ac:dyDescent="0.3">
      <c r="B5" s="2">
        <f>B6*EXP(-(data!F5+$A$2))</f>
        <v>804.70311013269441</v>
      </c>
      <c r="C5" s="2">
        <f>C4*EXP(data!F4-0.5*data!$B$7^2)</f>
        <v>190.50539055796133</v>
      </c>
      <c r="D5" s="2">
        <f t="shared" si="0"/>
        <v>995.20850069065568</v>
      </c>
      <c r="E5" s="2">
        <f t="shared" si="2"/>
        <v>1000</v>
      </c>
      <c r="F5" s="2">
        <f t="shared" si="1"/>
        <v>965.33600141451257</v>
      </c>
      <c r="G5" s="1">
        <f>G4*(1-data!J4)*(1-data!K4)</f>
        <v>0.83884959626224431</v>
      </c>
      <c r="H5" s="10">
        <f>(data!J5+data!K5*(1-data!J5))*G5</f>
        <v>4.8825510021164337E-2</v>
      </c>
      <c r="I5" s="2">
        <f>data!$G5*$H5*E6+I4</f>
        <v>212.51885586636251</v>
      </c>
      <c r="J5" s="2">
        <f>data!$G5*$H5*F6+J4</f>
        <v>205.3490122589418</v>
      </c>
      <c r="K5" s="2">
        <f>data!$G5*$H5*E6*data!$D5+K4</f>
        <v>519.90142773373861</v>
      </c>
      <c r="L5" s="2">
        <f>data!$G5*$H5*F6*data!$D5+L4</f>
        <v>502.22283795574867</v>
      </c>
    </row>
    <row r="6" spans="1:14" x14ac:dyDescent="0.3">
      <c r="B6" s="2">
        <f>B7*EXP(-(data!F6+$A$2))</f>
        <v>808.12599413125622</v>
      </c>
      <c r="C6" s="2">
        <f>C5*EXP(data!F5-0.5*data!$B$7^2)</f>
        <v>187.87162528216035</v>
      </c>
      <c r="D6" s="2">
        <f t="shared" si="0"/>
        <v>995.9976194134166</v>
      </c>
      <c r="E6" s="2">
        <f t="shared" si="2"/>
        <v>1000</v>
      </c>
      <c r="F6" s="2">
        <f t="shared" si="1"/>
        <v>966.14136439269691</v>
      </c>
      <c r="G6" s="1">
        <f>G5*(1-data!J5)*(1-data!K5)</f>
        <v>0.79002408624107989</v>
      </c>
      <c r="H6" s="10">
        <f>(data!J6+data!K6*(1-data!J6))*G6</f>
        <v>4.6605121041147987E-2</v>
      </c>
      <c r="I6" s="2">
        <f>data!$G6*$H6*E7+I5</f>
        <v>259.96248200492255</v>
      </c>
      <c r="J6" s="2">
        <f>data!$G6*$H6*F7+J5</f>
        <v>251.33855738458189</v>
      </c>
      <c r="K6" s="2">
        <f>data!$G6*$H6*E7*data!$D6+K5</f>
        <v>757.11955842653867</v>
      </c>
      <c r="L6" s="2">
        <f>data!$G6*$H6*F7*data!$D6+L5</f>
        <v>732.17056358394916</v>
      </c>
    </row>
    <row r="7" spans="1:14" x14ac:dyDescent="0.3">
      <c r="B7" s="2">
        <f>B8*EXP(-(data!F7+$A$2))</f>
        <v>813.51216854853408</v>
      </c>
      <c r="C7" s="2">
        <f>C6*EXP(data!F6-0.5*data!$B$7^2)</f>
        <v>185.71915386128686</v>
      </c>
      <c r="D7" s="2">
        <f t="shared" si="0"/>
        <v>999.2313224098209</v>
      </c>
      <c r="E7" s="2">
        <f t="shared" si="2"/>
        <v>1000</v>
      </c>
      <c r="F7" s="2">
        <f t="shared" si="1"/>
        <v>969.35139382741841</v>
      </c>
      <c r="G7" s="1">
        <f>G6*(1-data!J6)*(1-data!K6)</f>
        <v>0.74341896519993189</v>
      </c>
      <c r="H7" s="10">
        <f>(data!J7+data!K7*(1-data!J7))*G7</f>
        <v>4.4590104865391118E-2</v>
      </c>
      <c r="I7" s="2">
        <f>data!$G7*$H7*E8+I6</f>
        <v>305.29818489528418</v>
      </c>
      <c r="J7" s="2">
        <f>data!$G7*$H7*F8+J6</f>
        <v>295.49896820936885</v>
      </c>
      <c r="K7" s="2">
        <f>data!$G7*$H7*E8*data!$D7+K6</f>
        <v>1029.1337757687083</v>
      </c>
      <c r="L7" s="2">
        <f>data!$G7*$H7*F8*data!$D7+L6</f>
        <v>997.13302853267089</v>
      </c>
    </row>
    <row r="8" spans="1:14" x14ac:dyDescent="0.3">
      <c r="B8" s="2">
        <f>B9*EXP(-(data!F8+$A$2))</f>
        <v>820.18172583944408</v>
      </c>
      <c r="C8" s="2">
        <f>C7*EXP(data!F7-0.5*data!$B$7^2)</f>
        <v>183.87100861170401</v>
      </c>
      <c r="D8" s="2">
        <f t="shared" si="0"/>
        <v>1004.0527344511481</v>
      </c>
      <c r="E8" s="2">
        <f t="shared" si="2"/>
        <v>1000</v>
      </c>
      <c r="F8" s="2">
        <f t="shared" si="1"/>
        <v>974.07579477885349</v>
      </c>
      <c r="G8" s="1">
        <f>G7*(1-data!J7)*(1-data!K7)</f>
        <v>0.69882886033454072</v>
      </c>
      <c r="H8" s="10">
        <f>(data!J8+data!K8*(1-data!J8))*G8</f>
        <v>4.2627280924763714E-2</v>
      </c>
      <c r="I8" s="2">
        <f>data!$G8*$H8*E9+I7</f>
        <v>348.55131525567646</v>
      </c>
      <c r="J8" s="2">
        <f>data!$G8*$H8*F9+J7</f>
        <v>337.86937066850044</v>
      </c>
      <c r="K8" s="2">
        <f>data!$G8*$H8*E9*data!$D8+K7</f>
        <v>1331.9056882914545</v>
      </c>
      <c r="L8" s="2">
        <f>data!$G8*$H8*F9*data!$D8+L7</f>
        <v>1293.7258457465921</v>
      </c>
    </row>
    <row r="9" spans="1:14" x14ac:dyDescent="0.3">
      <c r="B9" s="2">
        <f>B10*EXP(-(data!F9+$A$2))</f>
        <v>827.53371315724314</v>
      </c>
      <c r="C9" s="2">
        <f>C8*EXP(data!F8-0.5*data!$B$7^2)</f>
        <v>182.17945233150778</v>
      </c>
      <c r="D9" s="2">
        <f t="shared" si="0"/>
        <v>1009.713165488751</v>
      </c>
      <c r="E9" s="2">
        <f t="shared" si="2"/>
        <v>1000</v>
      </c>
      <c r="F9" s="2">
        <f t="shared" si="1"/>
        <v>979.59158345521655</v>
      </c>
      <c r="G9" s="1">
        <f>G8*(1-data!J8)*(1-data!K8)</f>
        <v>0.65620157940977697</v>
      </c>
      <c r="H9" s="10">
        <f>(data!J9+data!K9*(1-data!J9))*G9</f>
        <v>4.0852328039356019E-2</v>
      </c>
      <c r="I9" s="2">
        <f>data!$G9*$H9*E10+I8</f>
        <v>389.7847395277978</v>
      </c>
      <c r="J9" s="2">
        <f>data!$G9*$H9*F10+J8</f>
        <v>378.62868932495996</v>
      </c>
      <c r="K9" s="2">
        <f>data!$G9*$H9*E10*data!$D9+K8</f>
        <v>1661.7730824684249</v>
      </c>
      <c r="L9" s="2">
        <f>data!$G9*$H9*F10*data!$D9+L8</f>
        <v>1619.8003949982685</v>
      </c>
    </row>
    <row r="10" spans="1:14" x14ac:dyDescent="0.3">
      <c r="B10" s="2">
        <f>B11*EXP(-(data!F10+$A$2))</f>
        <v>837.69645352899374</v>
      </c>
      <c r="C10" s="2">
        <f>C9*EXP(data!F9-0.5*data!$B$7^2)</f>
        <v>181.0968516206469</v>
      </c>
      <c r="D10" s="2">
        <f t="shared" si="0"/>
        <v>1018.7933051496407</v>
      </c>
      <c r="E10" s="2">
        <f t="shared" si="2"/>
        <v>1000</v>
      </c>
      <c r="F10" s="2">
        <f t="shared" si="1"/>
        <v>988.5019101849781</v>
      </c>
      <c r="G10" s="1">
        <f>G9*(1-data!J9)*(1-data!K9)</f>
        <v>0.61534925137042085</v>
      </c>
      <c r="H10" s="10">
        <f>(data!J10+data!K10*(1-data!J10))*G10</f>
        <v>3.9045520676118668E-2</v>
      </c>
      <c r="I10" s="2">
        <f>data!$G10*$H10*E11+I9</f>
        <v>429.02053480583396</v>
      </c>
      <c r="J10" s="2">
        <f>data!$G10*$H10*F11+J9</f>
        <v>417.72917303963561</v>
      </c>
      <c r="K10" s="2">
        <f>data!$G10*$H10*E11*data!$D10+K9</f>
        <v>2014.8952399707505</v>
      </c>
      <c r="L10" s="2">
        <f>data!$G10*$H10*F11*data!$D10+L9</f>
        <v>1971.7047484303491</v>
      </c>
    </row>
    <row r="11" spans="1:14" x14ac:dyDescent="0.3">
      <c r="B11" s="2">
        <f>B12*EXP(-(data!F11+$A$2))</f>
        <v>847.2502154423895</v>
      </c>
      <c r="C11" s="2">
        <f>C10*EXP(data!F10-0.5*data!$B$7^2)</f>
        <v>179.86490725730363</v>
      </c>
      <c r="D11" s="2">
        <f t="shared" si="0"/>
        <v>1027.1151226996931</v>
      </c>
      <c r="E11" s="2">
        <f t="shared" si="2"/>
        <v>1000</v>
      </c>
      <c r="F11" s="2">
        <f t="shared" si="1"/>
        <v>996.5513235452039</v>
      </c>
      <c r="G11" s="1">
        <f>G10*(1-data!J10)*(1-data!K10)</f>
        <v>0.57630373069430219</v>
      </c>
      <c r="H11" s="10">
        <f>(data!J11+data!K11*(1-data!J11))*G11</f>
        <v>3.746068215836254E-2</v>
      </c>
      <c r="I11" s="2">
        <f>data!$G11*$H11*E12+I10</f>
        <v>466.67819807711771</v>
      </c>
      <c r="J11" s="2">
        <f>data!$G11*$H11*F12+J10</f>
        <v>455.38683631091936</v>
      </c>
      <c r="K11" s="2">
        <f>data!$G11*$H11*E12*data!$D11+K10</f>
        <v>2391.4718726835881</v>
      </c>
      <c r="L11" s="2">
        <f>data!$G11*$H11*F12*data!$D11+L10</f>
        <v>2348.281381143187</v>
      </c>
    </row>
    <row r="12" spans="1:14" x14ac:dyDescent="0.3">
      <c r="B12" s="2">
        <f>B13*EXP(-(data!F12+$A$2))</f>
        <v>859.08970000200384</v>
      </c>
      <c r="C12" s="2">
        <f>C11*EXP(data!F11-0.5*data!$B$7^2)</f>
        <v>179.09513517496339</v>
      </c>
      <c r="D12" s="2">
        <f t="shared" si="0"/>
        <v>1038.1848351769672</v>
      </c>
      <c r="E12" s="2">
        <f t="shared" si="2"/>
        <v>1007.3713814959765</v>
      </c>
      <c r="F12" s="2">
        <f t="shared" si="1"/>
        <v>1007.3713814959765</v>
      </c>
      <c r="G12" s="1">
        <f>G11*(1-data!J11)*(1-data!K11)</f>
        <v>0.53884304853593956</v>
      </c>
      <c r="H12" s="10">
        <f>(data!J12+data!K12*(1-data!J12))*G12</f>
        <v>3.5472520149649342E-2</v>
      </c>
      <c r="I12" s="2">
        <f>data!$G12*$H12*E13+I11</f>
        <v>502.47357960305061</v>
      </c>
      <c r="J12" s="2">
        <f>data!$G12*$H12*F13+J11</f>
        <v>491.18221783685226</v>
      </c>
      <c r="K12" s="2">
        <f>data!$G12*$H12*E13*data!$D12+K11</f>
        <v>2785.2210694688497</v>
      </c>
      <c r="L12" s="2">
        <f>data!$G12*$H12*F13*data!$D12+L11</f>
        <v>2742.0305779284486</v>
      </c>
    </row>
    <row r="13" spans="1:14" x14ac:dyDescent="0.3">
      <c r="B13" s="2">
        <f>B14*EXP(-(data!F13+$A$2))</f>
        <v>871.34306360641722</v>
      </c>
      <c r="C13" s="2">
        <f>C12*EXP(data!F12-0.5*data!$B$7^2)</f>
        <v>178.37951637864273</v>
      </c>
      <c r="D13" s="2">
        <f t="shared" si="0"/>
        <v>1049.7225799850598</v>
      </c>
      <c r="E13" s="2">
        <f t="shared" si="2"/>
        <v>1018.5770349297509</v>
      </c>
      <c r="F13" s="2">
        <f t="shared" si="1"/>
        <v>1018.5770349297509</v>
      </c>
      <c r="G13" s="1">
        <f>G12*(1-data!J12)*(1-data!K12)</f>
        <v>0.50337052838629026</v>
      </c>
      <c r="H13" s="10">
        <f>(data!J13+data!K13*(1-data!J13))*G13</f>
        <v>3.387190327753388E-2</v>
      </c>
      <c r="I13" s="2">
        <f>data!$G13*$H13*E14+I12</f>
        <v>536.78709003930123</v>
      </c>
      <c r="J13" s="2">
        <f>data!$G13*$H13*F14+J12</f>
        <v>525.49572827310294</v>
      </c>
      <c r="K13" s="2">
        <f>data!$G13*$H13*E14*data!$D13+K12</f>
        <v>3196.9831947038579</v>
      </c>
      <c r="L13" s="2">
        <f>data!$G13*$H13*F14*data!$D13+L12</f>
        <v>3153.7927031634567</v>
      </c>
    </row>
    <row r="14" spans="1:14" x14ac:dyDescent="0.3">
      <c r="B14" s="2">
        <f>B15*EXP(-(data!F14+$A$2))</f>
        <v>884.8982087103542</v>
      </c>
      <c r="C14" s="2">
        <f>C13*EXP(data!F13-0.5*data!$B$7^2)</f>
        <v>177.89332255867487</v>
      </c>
      <c r="D14" s="2">
        <f t="shared" si="0"/>
        <v>1062.7915312690291</v>
      </c>
      <c r="E14" s="2">
        <f t="shared" si="2"/>
        <v>1031.2998538694774</v>
      </c>
      <c r="F14" s="2">
        <f t="shared" si="1"/>
        <v>1031.2998538694774</v>
      </c>
      <c r="G14" s="1">
        <f>G13*(1-data!J13)*(1-data!K13)</f>
        <v>0.46949862510875634</v>
      </c>
      <c r="H14" s="10">
        <f>(data!J14+data!K14*(1-data!J14))*G14</f>
        <v>3.2448874452923326E-2</v>
      </c>
      <c r="I14" s="2">
        <f>data!$G14*$H14*E15+I13</f>
        <v>569.78743809049649</v>
      </c>
      <c r="J14" s="2">
        <f>data!$G14*$H14*F15+J13</f>
        <v>558.4960763242982</v>
      </c>
      <c r="K14" s="2">
        <f>data!$G14*$H14*E15*data!$D14+K13</f>
        <v>3625.9877193693956</v>
      </c>
      <c r="L14" s="2">
        <f>data!$G14*$H14*F15*data!$D14+L13</f>
        <v>3582.7972278289944</v>
      </c>
    </row>
    <row r="15" spans="1:14" x14ac:dyDescent="0.3">
      <c r="B15" s="2">
        <f>B16*EXP(-(data!F15+$A$2))</f>
        <v>898.64256264601602</v>
      </c>
      <c r="C15" s="2">
        <f>C14*EXP(data!F14-0.5*data!$B$7^2)</f>
        <v>177.40417729011031</v>
      </c>
      <c r="D15" s="2">
        <f t="shared" si="0"/>
        <v>1076.0467399361264</v>
      </c>
      <c r="E15" s="2">
        <f t="shared" si="2"/>
        <v>1044.1629939980555</v>
      </c>
      <c r="F15" s="2">
        <f t="shared" si="1"/>
        <v>1044.1629939980555</v>
      </c>
      <c r="G15" s="1">
        <f>G14*(1-data!J14)*(1-data!K14)</f>
        <v>0.43704975065583301</v>
      </c>
      <c r="H15" s="10">
        <f>(data!J15+data!K15*(1-data!J15))*G15</f>
        <v>3.1289227944148963E-2</v>
      </c>
      <c r="I15" s="2">
        <f>data!$G15*$H15*E16+I14</f>
        <v>601.73458594571355</v>
      </c>
      <c r="J15" s="2">
        <f>data!$G15*$H15*F16+J14</f>
        <v>590.44322417951525</v>
      </c>
      <c r="K15" s="2">
        <f>data!$G15*$H15*E16*data!$D15+K14</f>
        <v>4073.2477893424343</v>
      </c>
      <c r="L15" s="2">
        <f>data!$G15*$H15*F16*data!$D15+L14</f>
        <v>4030.0572978020332</v>
      </c>
    </row>
    <row r="16" spans="1:14" x14ac:dyDescent="0.3">
      <c r="B16" s="2">
        <f>B17*EXP(-(data!F16+$A$2))</f>
        <v>912.94342782753324</v>
      </c>
      <c r="C16" s="2">
        <f>C15*EXP(data!F15-0.5*data!$B$7^2)</f>
        <v>176.98287708967209</v>
      </c>
      <c r="D16" s="2">
        <f t="shared" si="0"/>
        <v>1089.9263049172052</v>
      </c>
      <c r="E16" s="2">
        <f t="shared" si="2"/>
        <v>1057.6449027191215</v>
      </c>
      <c r="F16" s="2">
        <f t="shared" si="1"/>
        <v>1057.6449027191215</v>
      </c>
      <c r="G16" s="1">
        <f>G15*(1-data!J15)*(1-data!K15)</f>
        <v>0.40576052271168406</v>
      </c>
      <c r="H16" s="10">
        <f>(data!J16+data!K16*(1-data!J16))*G16</f>
        <v>3.0110640148061345E-2</v>
      </c>
      <c r="I16" s="2">
        <f>data!$G16*$H16*E17+I15</f>
        <v>632.60191440445192</v>
      </c>
      <c r="J16" s="2">
        <f>data!$G16*$H16*F17+J15</f>
        <v>621.31055263825374</v>
      </c>
      <c r="K16" s="2">
        <f>data!$G16*$H16*E17*data!$D16+K15</f>
        <v>4536.2577162235111</v>
      </c>
      <c r="L16" s="2">
        <f>data!$G16*$H16*F17*data!$D16+L15</f>
        <v>4493.06722468311</v>
      </c>
    </row>
    <row r="17" spans="2:12" x14ac:dyDescent="0.3">
      <c r="B17" s="2">
        <f>B18*EXP(-(data!F17+$A$2))</f>
        <v>928.09821275853972</v>
      </c>
      <c r="C17" s="2">
        <f>C16*EXP(data!F16-0.5*data!$B$7^2)</f>
        <v>176.68181317458851</v>
      </c>
      <c r="D17" s="2">
        <f t="shared" si="0"/>
        <v>1104.7800259331282</v>
      </c>
      <c r="E17" s="2">
        <f t="shared" si="2"/>
        <v>1072.0822367856119</v>
      </c>
      <c r="F17" s="2">
        <f t="shared" si="1"/>
        <v>1072.0822367856119</v>
      </c>
      <c r="G17" s="1">
        <f>G16*(1-data!J16)*(1-data!K16)</f>
        <v>0.37564988256362275</v>
      </c>
      <c r="H17" s="10">
        <f>(data!J17+data!K17*(1-data!J17))*G17</f>
        <v>2.9326576497720153E-2</v>
      </c>
      <c r="I17" s="2">
        <f>data!$G17*$H17*E18+I16</f>
        <v>662.78522417988563</v>
      </c>
      <c r="J17" s="2">
        <f>data!$G17*$H17*F18+J16</f>
        <v>651.49386241368745</v>
      </c>
      <c r="K17" s="2">
        <f>data!$G17*$H17*E18*data!$D17+K16</f>
        <v>5019.1906726304496</v>
      </c>
      <c r="L17" s="2">
        <f>data!$G17*$H17*F18*data!$D17+L16</f>
        <v>4976.0001810900485</v>
      </c>
    </row>
    <row r="18" spans="2:12" x14ac:dyDescent="0.3">
      <c r="B18" s="2">
        <f>B19*EXP(-(data!F18+$A$2))</f>
        <v>941.6793097841371</v>
      </c>
      <c r="C18" s="2">
        <f>C17*EXP(data!F17-0.5*data!$B$7^2)</f>
        <v>176.04004315509536</v>
      </c>
      <c r="D18" s="2">
        <f t="shared" si="0"/>
        <v>1117.7193529392325</v>
      </c>
      <c r="E18" s="2">
        <f t="shared" si="2"/>
        <v>1084.5759521612388</v>
      </c>
      <c r="F18" s="2">
        <f t="shared" si="1"/>
        <v>1084.5759521612388</v>
      </c>
      <c r="G18" s="1">
        <f>G17*(1-data!J17)*(1-data!K17)</f>
        <v>0.34632330606590261</v>
      </c>
      <c r="H18" s="10">
        <f>(data!J18+data!K18*(1-data!J18))*G18</f>
        <v>2.8019363095227533E-2</v>
      </c>
      <c r="I18" s="2">
        <f>data!$G18*$H18*E19+I17</f>
        <v>691.73998894433987</v>
      </c>
      <c r="J18" s="2">
        <f>data!$G18*$H18*F19+J17</f>
        <v>680.44862717814169</v>
      </c>
      <c r="K18" s="2">
        <f>data!$G18*$H18*E19*data!$D18+K17</f>
        <v>5511.4216736261724</v>
      </c>
      <c r="L18" s="2">
        <f>data!$G18*$H18*F19*data!$D18+L17</f>
        <v>5468.2311820857713</v>
      </c>
    </row>
    <row r="19" spans="2:12" x14ac:dyDescent="0.3">
      <c r="B19" s="2">
        <f>B20*EXP(-(data!F19+$A$2))</f>
        <v>954.39223276911173</v>
      </c>
      <c r="C19" s="2">
        <f>C18*EXP(data!F18-0.5*data!$B$7^2)</f>
        <v>175.20474387499587</v>
      </c>
      <c r="D19" s="2">
        <f t="shared" si="0"/>
        <v>1129.5969766441076</v>
      </c>
      <c r="E19" s="2">
        <f t="shared" si="2"/>
        <v>1096.0653960559307</v>
      </c>
      <c r="F19" s="2">
        <f t="shared" si="1"/>
        <v>1096.0653960559307</v>
      </c>
      <c r="G19" s="1">
        <f>G18*(1-data!J18)*(1-data!K18)</f>
        <v>0.31830394297067505</v>
      </c>
      <c r="H19" s="10">
        <f>(data!J19+data!K19*(1-data!J19))*G19</f>
        <v>2.6708452393674649E-2</v>
      </c>
      <c r="I19" s="2">
        <f>data!$G19*$H19*E20+I18</f>
        <v>719.45423351522902</v>
      </c>
      <c r="J19" s="2">
        <f>data!$G19*$H19*F20+J18</f>
        <v>708.16287174903084</v>
      </c>
      <c r="K19" s="2">
        <f>data!$G19*$H19*E20*data!$D19+K18</f>
        <v>6010.278075902178</v>
      </c>
      <c r="L19" s="2">
        <f>data!$G19*$H19*F20*data!$D19+L18</f>
        <v>5967.0875843617769</v>
      </c>
    </row>
    <row r="20" spans="2:12" x14ac:dyDescent="0.3">
      <c r="B20" s="2">
        <f>B21*EXP(-(data!F20+$A$2))</f>
        <v>967.46903157777763</v>
      </c>
      <c r="C20" s="2">
        <f>C19*EXP(data!F19-0.5*data!$B$7^2)</f>
        <v>174.40806505977133</v>
      </c>
      <c r="D20" s="2">
        <f t="shared" si="0"/>
        <v>1141.8770966375489</v>
      </c>
      <c r="E20" s="2">
        <f t="shared" si="2"/>
        <v>1107.9891873382257</v>
      </c>
      <c r="F20" s="2">
        <f t="shared" si="1"/>
        <v>1107.9891873382257</v>
      </c>
      <c r="G20" s="1">
        <f>G19*(1-data!J19)*(1-data!K19)</f>
        <v>0.2915954905770004</v>
      </c>
      <c r="H20" s="10">
        <f>(data!J20+data!K20*(1-data!J20))*G20</f>
        <v>2.5455638693787565E-2</v>
      </c>
      <c r="I20" s="2">
        <f>data!$G20*$H20*E21+I19</f>
        <v>745.9800703397251</v>
      </c>
      <c r="J20" s="2">
        <f>data!$G20*$H20*F21+J19</f>
        <v>734.68870857352692</v>
      </c>
      <c r="K20" s="2">
        <f>data!$G20*$H20*E21*data!$D20+K19</f>
        <v>6514.2689755676029</v>
      </c>
      <c r="L20" s="2">
        <f>data!$G20*$H20*F21*data!$D20+L19</f>
        <v>6471.0784840272017</v>
      </c>
    </row>
    <row r="21" spans="2:12" x14ac:dyDescent="0.3">
      <c r="B21" s="2">
        <f>B22*EXP(-(data!F21+$A$2))</f>
        <v>982.37694602175327</v>
      </c>
      <c r="C21" s="2">
        <f>C20*EXP(data!F20-0.5*data!$B$7^2)</f>
        <v>173.90744738859118</v>
      </c>
      <c r="D21" s="2">
        <f t="shared" si="0"/>
        <v>1156.2843934103444</v>
      </c>
      <c r="E21" s="2">
        <f t="shared" si="2"/>
        <v>1122.0280805112179</v>
      </c>
      <c r="F21" s="2">
        <f t="shared" si="1"/>
        <v>1122.0280805112179</v>
      </c>
      <c r="G21" s="1">
        <f>G20*(1-data!J20)*(1-data!K20)</f>
        <v>0.26613985188321282</v>
      </c>
      <c r="H21" s="10">
        <f>(data!J21+data!K21*(1-data!J21))*G21</f>
        <v>2.4169905826942908E-2</v>
      </c>
      <c r="I21" s="2">
        <f>data!$G21*$H21*E22+I20</f>
        <v>771.27420063689419</v>
      </c>
      <c r="J21" s="2">
        <f>data!$G21*$H21*F22+J20</f>
        <v>759.98283887069601</v>
      </c>
      <c r="K21" s="2">
        <f>data!$G21*$H21*E22*data!$D21+K20</f>
        <v>7020.1515815109842</v>
      </c>
      <c r="L21" s="2">
        <f>data!$G21*$H21*F22*data!$D21+L20</f>
        <v>6976.9610899705831</v>
      </c>
    </row>
    <row r="22" spans="2:12" x14ac:dyDescent="0.3">
      <c r="B22" s="2">
        <f>data!B4</f>
        <v>1000</v>
      </c>
      <c r="C22" s="2">
        <f>C21*EXP(data!F21-0.5*data!$B$7^2)</f>
        <v>173.84033303342181</v>
      </c>
      <c r="D22" s="2">
        <f t="shared" si="0"/>
        <v>1173.8403330334218</v>
      </c>
      <c r="E22" s="2">
        <f t="shared" si="2"/>
        <v>1139.1518012311114</v>
      </c>
      <c r="F22" s="2">
        <f t="shared" si="1"/>
        <v>1139.1518012311114</v>
      </c>
      <c r="G22" s="1">
        <f>G21*(1-data!J21)*(1-data!K21)</f>
        <v>0.24196994605626992</v>
      </c>
      <c r="H22" s="10"/>
      <c r="I22" s="8">
        <f>data!$G21*$G22*E22+I21</f>
        <v>1024.4989913071022</v>
      </c>
      <c r="J22" s="8">
        <f>data!$G21*$G22*F22+J21</f>
        <v>1013.207629540904</v>
      </c>
      <c r="K22" s="2">
        <f>data!$G21*$G22*E22*data!$D21+K21</f>
        <v>12084.647394915144</v>
      </c>
      <c r="L22" s="2">
        <f>data!$G21*$G22*F22*data!$D21+L21</f>
        <v>12041.456903374743</v>
      </c>
    </row>
    <row r="23" spans="2:12" x14ac:dyDescent="0.3">
      <c r="K23" s="6">
        <f>K22/I22</f>
        <v>11.795665488647289</v>
      </c>
      <c r="L23" s="7">
        <f>L22/J22</f>
        <v>11.884490949629805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C047-5980-4388-9935-B6B6F39788AE}">
  <dimension ref="A1:V23"/>
  <sheetViews>
    <sheetView workbookViewId="0">
      <selection activeCell="S1" sqref="S1:V2"/>
    </sheetView>
  </sheetViews>
  <sheetFormatPr defaultRowHeight="14.4" x14ac:dyDescent="0.3"/>
  <sheetData>
    <row r="1" spans="1:22" x14ac:dyDescent="0.3">
      <c r="A1" t="s">
        <v>10</v>
      </c>
      <c r="B1" t="s">
        <v>6</v>
      </c>
      <c r="C1" t="s">
        <v>9</v>
      </c>
      <c r="D1" t="s">
        <v>15</v>
      </c>
      <c r="E1" s="18" t="s">
        <v>12</v>
      </c>
      <c r="F1" s="12" t="s">
        <v>11</v>
      </c>
      <c r="G1" s="12" t="s">
        <v>13</v>
      </c>
      <c r="H1" s="12" t="s">
        <v>16</v>
      </c>
      <c r="I1" s="12" t="s">
        <v>17</v>
      </c>
      <c r="J1" s="12" t="s">
        <v>18</v>
      </c>
      <c r="K1" s="12" t="s">
        <v>19</v>
      </c>
      <c r="L1" s="13" t="s">
        <v>20</v>
      </c>
      <c r="M1" s="12" t="s">
        <v>26</v>
      </c>
      <c r="N1" s="12" t="s">
        <v>27</v>
      </c>
      <c r="O1" s="12" t="s">
        <v>22</v>
      </c>
      <c r="P1" s="13" t="s">
        <v>23</v>
      </c>
      <c r="Q1" s="14" t="s">
        <v>24</v>
      </c>
      <c r="R1" s="14" t="s">
        <v>25</v>
      </c>
      <c r="S1" s="14" t="s">
        <v>29</v>
      </c>
      <c r="T1" s="14" t="s">
        <v>28</v>
      </c>
      <c r="U1" s="14" t="s">
        <v>30</v>
      </c>
      <c r="V1" s="14" t="s">
        <v>31</v>
      </c>
    </row>
    <row r="2" spans="1:22" x14ac:dyDescent="0.3">
      <c r="A2">
        <v>1</v>
      </c>
      <c r="B2" s="17">
        <v>4.3499999999999997E-3</v>
      </c>
      <c r="C2" s="1">
        <f>-LN( (1+B2) ^ (-1))</f>
        <v>4.3405660984201875E-3</v>
      </c>
      <c r="D2" s="1">
        <f>(1+B2)^(-A2)</f>
        <v>0.99566884054363514</v>
      </c>
      <c r="E2" s="19">
        <f>-LN(data!B3/data!B4)/data!B5-LN(1+data!E21)</f>
        <v>6.9161833084558722E-3</v>
      </c>
      <c r="F2" s="2">
        <f>F3*EXP(-(C2+E$2))</f>
        <v>656.18525548133528</v>
      </c>
      <c r="G2" s="2">
        <f>data!B6</f>
        <v>200</v>
      </c>
      <c r="H2" s="2">
        <f>F2+G2</f>
        <v>856.18525548133528</v>
      </c>
      <c r="K2">
        <v>1</v>
      </c>
      <c r="L2" s="10">
        <f>(data!J2+data!K2*(1-data!J2))*K2</f>
        <v>5.6210577500000004E-2</v>
      </c>
      <c r="M2" s="2">
        <f>$D2*$L2*I3</f>
        <v>55.967120525713149</v>
      </c>
      <c r="N2" s="2">
        <f>$D2*$L2*J3</f>
        <v>46.819340432963415</v>
      </c>
      <c r="O2" s="2">
        <f>$D2*$L2*I3*$A2</f>
        <v>55.967120525713149</v>
      </c>
      <c r="P2" s="21">
        <f>$D2*$L2*J3*$A2</f>
        <v>46.819340432963415</v>
      </c>
      <c r="Q2" s="2">
        <f>$H2-M22</f>
        <v>-61.714293650617037</v>
      </c>
      <c r="R2" s="2">
        <f>$H2-N22</f>
        <v>-5.7955099237526611</v>
      </c>
      <c r="S2" s="2">
        <f>plain_case!M2-Q2</f>
        <v>37.215302343515532</v>
      </c>
      <c r="T2" s="2">
        <f>plain_case!N2-R2</f>
        <v>-7.4121196171506654</v>
      </c>
      <c r="U2" s="6">
        <f>MAX(S2,0)</f>
        <v>37.215302343515532</v>
      </c>
      <c r="V2" s="7">
        <f>MAX(T2,0)</f>
        <v>0</v>
      </c>
    </row>
    <row r="3" spans="1:22" x14ac:dyDescent="0.3">
      <c r="A3">
        <v>2</v>
      </c>
      <c r="B3" s="17">
        <v>4.5500000000000002E-3</v>
      </c>
      <c r="C3" s="1">
        <f>-LN((1+B2)^(A2)/((1+B3)^(A3)))</f>
        <v>4.7387939856436082E-3</v>
      </c>
      <c r="D3" s="1">
        <f t="shared" ref="D3:D21" si="0">(1+B3)^(-A3)</f>
        <v>0.99096173284582856</v>
      </c>
      <c r="E3" s="20"/>
      <c r="F3" s="2">
        <f>F4*EXP(-(C3+E$2))</f>
        <v>663.61349896587149</v>
      </c>
      <c r="G3" s="2">
        <f>G2*EXP(C2-0.5*data!$B$7^2)</f>
        <v>198.6228762710584</v>
      </c>
      <c r="H3" s="2">
        <f t="shared" ref="H3:H22" si="1">F3+G3</f>
        <v>862.23637523692992</v>
      </c>
      <c r="I3" s="2">
        <f>MAX(J3,1000)</f>
        <v>1000</v>
      </c>
      <c r="J3" s="2">
        <f t="shared" ref="J3:J22" si="2">H3-H2*0.03</f>
        <v>836.5508175724899</v>
      </c>
      <c r="K3" s="1">
        <f>K2*(1-data!J2)*(1-data!K2)</f>
        <v>0.94378942249999997</v>
      </c>
      <c r="L3" s="10">
        <f>(data!J3+data!K3*(1-data!J3))*K3</f>
        <v>5.3695478318161925E-2</v>
      </c>
      <c r="M3" s="2">
        <f>$D3*$L3*I4+M2</f>
        <v>109.1772847658645</v>
      </c>
      <c r="N3" s="2">
        <f>$D3*$L3*J4+N2</f>
        <v>91.668051950430907</v>
      </c>
      <c r="O3" s="2">
        <f>$D3*$L3*I4*$A3+O2</f>
        <v>162.38744900601586</v>
      </c>
      <c r="P3" s="11">
        <f>$D3*$L3*J4*$A3+P2</f>
        <v>136.51676346789839</v>
      </c>
    </row>
    <row r="4" spans="1:22" x14ac:dyDescent="0.3">
      <c r="A4">
        <v>3</v>
      </c>
      <c r="B4" s="17">
        <v>5.0499999999999998E-3</v>
      </c>
      <c r="C4" s="1">
        <f t="shared" ref="C4:C21" si="3">-LN((1+B3)^(A3)/((1+B4)^(A4)))</f>
        <v>6.0325144677403405E-3</v>
      </c>
      <c r="D4" s="1">
        <f t="shared" si="0"/>
        <v>0.98500173681090153</v>
      </c>
      <c r="E4" s="20"/>
      <c r="F4" s="2">
        <f>F5*EXP(-(C4+E$2))</f>
        <v>671.3931469743834</v>
      </c>
      <c r="G4" s="2">
        <f>G3*EXP(C3-0.5*data!$B$7^2)</f>
        <v>197.33380306935678</v>
      </c>
      <c r="H4" s="2">
        <f t="shared" si="1"/>
        <v>868.7269500437402</v>
      </c>
      <c r="I4" s="2">
        <f t="shared" ref="I4:I22" si="4">MAX(J4,1000)</f>
        <v>1000</v>
      </c>
      <c r="J4" s="2">
        <f t="shared" si="2"/>
        <v>842.85985878663234</v>
      </c>
      <c r="K4" s="1">
        <f>K3*(1-data!J3)*(1-data!K3)</f>
        <v>0.89009394418183796</v>
      </c>
      <c r="L4" s="10">
        <f>(data!J4+data!K4*(1-data!J4))*K4</f>
        <v>5.1244347919593598E-2</v>
      </c>
      <c r="M4" s="2">
        <f t="shared" ref="M4:M21" si="5">D4*L4*I5+M3</f>
        <v>159.65305646840631</v>
      </c>
      <c r="N4" s="2">
        <f t="shared" ref="N4:N21" si="6">$D4*$L4*J5+N3</f>
        <v>134.59206435573634</v>
      </c>
      <c r="O4" s="2">
        <f t="shared" ref="O4:O21" si="7">$D4*$L4*I5*$A4+O3</f>
        <v>313.81476411364127</v>
      </c>
      <c r="P4" s="11">
        <f t="shared" ref="P4:P21" si="8">$D4*$L4*J5*$A4+P3</f>
        <v>265.28880068381471</v>
      </c>
    </row>
    <row r="5" spans="1:22" x14ac:dyDescent="0.3">
      <c r="A5">
        <v>4</v>
      </c>
      <c r="B5" s="17">
        <v>5.62E-3</v>
      </c>
      <c r="C5" s="1">
        <f t="shared" si="3"/>
        <v>7.3051923275228598E-3</v>
      </c>
      <c r="D5" s="1">
        <f t="shared" si="0"/>
        <v>0.97783232851721036</v>
      </c>
      <c r="E5" s="20"/>
      <c r="F5" s="2">
        <f>F6*EXP(-(C5+E$2))</f>
        <v>680.1433434877456</v>
      </c>
      <c r="G5" s="2">
        <f>G4*EXP(C4-0.5*data!$B$7^2)</f>
        <v>196.30689806735833</v>
      </c>
      <c r="H5" s="2">
        <f t="shared" si="1"/>
        <v>876.45024155510396</v>
      </c>
      <c r="I5" s="2">
        <f t="shared" si="4"/>
        <v>1000</v>
      </c>
      <c r="J5" s="2">
        <f t="shared" si="2"/>
        <v>850.3884330537918</v>
      </c>
      <c r="K5" s="1">
        <f>K4*(1-data!J4)*(1-data!K4)</f>
        <v>0.83884959626224431</v>
      </c>
      <c r="L5" s="10">
        <f>(data!J5+data!K5*(1-data!J5))*K5</f>
        <v>4.8825510021164337E-2</v>
      </c>
      <c r="M5" s="2">
        <f t="shared" si="5"/>
        <v>207.39621862344183</v>
      </c>
      <c r="N5" s="2">
        <f t="shared" si="6"/>
        <v>175.6094346382495</v>
      </c>
      <c r="O5" s="2">
        <f t="shared" si="7"/>
        <v>504.7874127337833</v>
      </c>
      <c r="P5" s="11">
        <f t="shared" si="8"/>
        <v>429.35828181386734</v>
      </c>
    </row>
    <row r="6" spans="1:22" x14ac:dyDescent="0.3">
      <c r="A6">
        <v>5</v>
      </c>
      <c r="B6" s="17">
        <v>6.4400000000000004E-3</v>
      </c>
      <c r="C6" s="1">
        <f t="shared" si="3"/>
        <v>9.6796921315900203E-3</v>
      </c>
      <c r="D6" s="1">
        <f t="shared" si="0"/>
        <v>0.9684128748738301</v>
      </c>
      <c r="E6" s="20"/>
      <c r="F6" s="2">
        <f>F7*EXP(-(C6+E$2))</f>
        <v>689.88502332057658</v>
      </c>
      <c r="G6" s="2">
        <f>G5*EXP(C5-0.5*data!$B$7^2)</f>
        <v>195.53403051886801</v>
      </c>
      <c r="H6" s="2">
        <f t="shared" si="1"/>
        <v>885.41905383944459</v>
      </c>
      <c r="I6" s="2">
        <f t="shared" si="4"/>
        <v>1000</v>
      </c>
      <c r="J6" s="2">
        <f t="shared" si="2"/>
        <v>859.12554659279147</v>
      </c>
      <c r="K6" s="1">
        <f>K5*(1-data!J5)*(1-data!K5)</f>
        <v>0.79002408624107989</v>
      </c>
      <c r="L6" s="10">
        <f>(data!J6+data!K6*(1-data!J6))*K6</f>
        <v>4.6605121041147987E-2</v>
      </c>
      <c r="M6" s="2">
        <f t="shared" si="5"/>
        <v>252.52921787474278</v>
      </c>
      <c r="N6" s="2">
        <f t="shared" si="6"/>
        <v>214.87940694979557</v>
      </c>
      <c r="O6" s="2">
        <f t="shared" si="7"/>
        <v>730.45240899028806</v>
      </c>
      <c r="P6" s="11">
        <f t="shared" si="8"/>
        <v>625.70814337159766</v>
      </c>
    </row>
    <row r="7" spans="1:22" x14ac:dyDescent="0.3">
      <c r="A7">
        <v>6</v>
      </c>
      <c r="B7" s="17">
        <v>7.2399999999999999E-3</v>
      </c>
      <c r="C7" s="1">
        <f t="shared" si="3"/>
        <v>1.1186743098251387E-2</v>
      </c>
      <c r="D7" s="1">
        <f t="shared" si="0"/>
        <v>0.95763985865923207</v>
      </c>
      <c r="E7" s="20"/>
      <c r="F7" s="2">
        <f>F8*EXP(-(C7+E$2))</f>
        <v>701.42980211734198</v>
      </c>
      <c r="G7" s="2">
        <f>G6*EXP(C6-0.5*data!$B$7^2)</f>
        <v>195.2272228464989</v>
      </c>
      <c r="H7" s="2">
        <f t="shared" si="1"/>
        <v>896.65702496384085</v>
      </c>
      <c r="I7" s="2">
        <f t="shared" si="4"/>
        <v>1000</v>
      </c>
      <c r="J7" s="2">
        <f t="shared" si="2"/>
        <v>870.09445334865757</v>
      </c>
      <c r="K7" s="1">
        <f>K6*(1-data!J6)*(1-data!K6)</f>
        <v>0.74341896519993189</v>
      </c>
      <c r="L7" s="10">
        <f>(data!J7+data!K7*(1-data!J7))*K7</f>
        <v>4.4590104865391118E-2</v>
      </c>
      <c r="M7" s="2">
        <f t="shared" si="5"/>
        <v>295.23047959563627</v>
      </c>
      <c r="N7" s="2">
        <f t="shared" si="6"/>
        <v>252.56576967171549</v>
      </c>
      <c r="O7" s="2">
        <f t="shared" si="7"/>
        <v>986.65997931564903</v>
      </c>
      <c r="P7" s="11">
        <f t="shared" si="8"/>
        <v>851.82631970311718</v>
      </c>
    </row>
    <row r="8" spans="1:22" x14ac:dyDescent="0.3">
      <c r="A8">
        <v>7</v>
      </c>
      <c r="B8" s="17">
        <v>7.92E-3</v>
      </c>
      <c r="C8" s="1">
        <f t="shared" si="3"/>
        <v>1.1938107832491461E-2</v>
      </c>
      <c r="D8" s="1">
        <f t="shared" si="0"/>
        <v>0.94627542067474713</v>
      </c>
      <c r="E8" s="20"/>
      <c r="F8" s="2">
        <f>F9*EXP(-(C8+E$2))</f>
        <v>714.24336577228837</v>
      </c>
      <c r="G8" s="2">
        <f>G7*EXP(C7-0.5*data!$B$7^2)</f>
        <v>195.21487376783099</v>
      </c>
      <c r="H8" s="2">
        <f t="shared" si="1"/>
        <v>909.45823954011939</v>
      </c>
      <c r="I8" s="2">
        <f t="shared" si="4"/>
        <v>1000</v>
      </c>
      <c r="J8" s="2">
        <f t="shared" si="2"/>
        <v>882.55852879120414</v>
      </c>
      <c r="K8" s="1">
        <f>K7*(1-data!J7)*(1-data!K7)</f>
        <v>0.69882886033454072</v>
      </c>
      <c r="L8" s="10">
        <f>(data!J8+data!K8*(1-data!J8))*K8</f>
        <v>4.2627280924763714E-2</v>
      </c>
      <c r="M8" s="2">
        <f t="shared" si="5"/>
        <v>335.56762778493766</v>
      </c>
      <c r="N8" s="2">
        <f t="shared" si="6"/>
        <v>288.70394870858047</v>
      </c>
      <c r="O8" s="2">
        <f t="shared" si="7"/>
        <v>1269.020016640759</v>
      </c>
      <c r="P8" s="11">
        <f t="shared" si="8"/>
        <v>1104.793572961172</v>
      </c>
    </row>
    <row r="9" spans="1:22" x14ac:dyDescent="0.3">
      <c r="A9">
        <v>8</v>
      </c>
      <c r="B9" s="17">
        <v>8.8400000000000006E-3</v>
      </c>
      <c r="C9" s="1">
        <f t="shared" si="3"/>
        <v>1.5187637682889906E-2</v>
      </c>
      <c r="D9" s="1">
        <f t="shared" si="0"/>
        <v>0.93201231801970152</v>
      </c>
      <c r="E9" s="20"/>
      <c r="F9" s="2">
        <f>F10*EXP(-(C9+E$2))</f>
        <v>727.83767091848006</v>
      </c>
      <c r="G9" s="2">
        <f>G8*EXP(C8-0.5*data!$B$7^2)</f>
        <v>195.34924887847041</v>
      </c>
      <c r="H9" s="2">
        <f t="shared" si="1"/>
        <v>923.18691979695041</v>
      </c>
      <c r="I9" s="2">
        <f t="shared" si="4"/>
        <v>1000</v>
      </c>
      <c r="J9" s="2">
        <f t="shared" si="2"/>
        <v>895.90317261074688</v>
      </c>
      <c r="K9" s="1">
        <f>K8*(1-data!J8)*(1-data!K8)</f>
        <v>0.65620157940977697</v>
      </c>
      <c r="L9" s="10">
        <f>(data!J9+data!K9*(1-data!J9))*K9</f>
        <v>4.0852328039356019E-2</v>
      </c>
      <c r="M9" s="2">
        <f t="shared" si="5"/>
        <v>373.64250073739913</v>
      </c>
      <c r="N9" s="2">
        <f t="shared" si="6"/>
        <v>323.44838043317952</v>
      </c>
      <c r="O9" s="2">
        <f t="shared" si="7"/>
        <v>1573.6190002604505</v>
      </c>
      <c r="P9" s="11">
        <f t="shared" si="8"/>
        <v>1382.7490267579644</v>
      </c>
    </row>
    <row r="10" spans="1:22" x14ac:dyDescent="0.3">
      <c r="A10">
        <v>9</v>
      </c>
      <c r="B10" s="17">
        <v>9.4599999999999997E-3</v>
      </c>
      <c r="C10" s="1">
        <f t="shared" si="3"/>
        <v>1.4330562062685431E-2</v>
      </c>
      <c r="D10" s="1">
        <f t="shared" si="0"/>
        <v>0.91875130349389167</v>
      </c>
      <c r="E10" s="20"/>
      <c r="F10" s="2">
        <f>F11*EXP(-(C10+E$2))</f>
        <v>744.10478488614967</v>
      </c>
      <c r="G10" s="2">
        <f>G9*EXP(C9-0.5*data!$B$7^2)</f>
        <v>196.11997987604042</v>
      </c>
      <c r="H10" s="2">
        <f t="shared" si="1"/>
        <v>940.22476476219003</v>
      </c>
      <c r="I10" s="2">
        <f t="shared" si="4"/>
        <v>1000</v>
      </c>
      <c r="J10" s="2">
        <f t="shared" si="2"/>
        <v>912.52915716828147</v>
      </c>
      <c r="K10" s="1">
        <f>K9*(1-data!J9)*(1-data!K9)</f>
        <v>0.61534925137042085</v>
      </c>
      <c r="L10" s="10">
        <f>(data!J10+data!K10*(1-data!J10))*K10</f>
        <v>3.9045520676118668E-2</v>
      </c>
      <c r="M10" s="2">
        <f t="shared" si="5"/>
        <v>409.51562375418087</v>
      </c>
      <c r="N10" s="2">
        <f t="shared" si="6"/>
        <v>356.76023662699089</v>
      </c>
      <c r="O10" s="2">
        <f t="shared" si="7"/>
        <v>1896.477107411486</v>
      </c>
      <c r="P10" s="11">
        <f t="shared" si="8"/>
        <v>1682.5557325022667</v>
      </c>
    </row>
    <row r="11" spans="1:22" x14ac:dyDescent="0.3">
      <c r="A11">
        <v>10</v>
      </c>
      <c r="B11" s="17">
        <v>1.021E-2</v>
      </c>
      <c r="C11" s="1">
        <f t="shared" si="3"/>
        <v>1.6842490639917065E-2</v>
      </c>
      <c r="D11" s="1">
        <f t="shared" si="0"/>
        <v>0.90340682560529506</v>
      </c>
      <c r="E11" s="20"/>
      <c r="F11" s="2">
        <f>F12*EXP(-(C11+E$2))</f>
        <v>760.08373906273732</v>
      </c>
      <c r="G11" s="2">
        <f>G10*EXP(C10-0.5*data!$B$7^2)</f>
        <v>196.72507117791631</v>
      </c>
      <c r="H11" s="2">
        <f t="shared" si="1"/>
        <v>956.80881024065366</v>
      </c>
      <c r="I11" s="2">
        <f t="shared" si="4"/>
        <v>1000</v>
      </c>
      <c r="J11" s="2">
        <f t="shared" si="2"/>
        <v>928.60206729778793</v>
      </c>
      <c r="K11" s="1">
        <f>K10*(1-data!J10)*(1-data!K10)</f>
        <v>0.57630373069430219</v>
      </c>
      <c r="L11" s="10">
        <f>(data!J11+data!K11*(1-data!J11))*K11</f>
        <v>3.746068215836254E-2</v>
      </c>
      <c r="M11" s="2">
        <f t="shared" si="5"/>
        <v>443.35785970787606</v>
      </c>
      <c r="N11" s="2">
        <f t="shared" si="6"/>
        <v>388.82516721673113</v>
      </c>
      <c r="O11" s="2">
        <f t="shared" si="7"/>
        <v>2234.8994669484382</v>
      </c>
      <c r="P11" s="11">
        <f t="shared" si="8"/>
        <v>2003.2050383996689</v>
      </c>
    </row>
    <row r="12" spans="1:22" x14ac:dyDescent="0.3">
      <c r="A12">
        <v>11</v>
      </c>
      <c r="B12" s="17">
        <v>1.085E-2</v>
      </c>
      <c r="C12" s="1">
        <f t="shared" si="3"/>
        <v>1.7124871533032753E-2</v>
      </c>
      <c r="D12" s="1">
        <f t="shared" si="0"/>
        <v>0.88806781393648937</v>
      </c>
      <c r="E12" s="20"/>
      <c r="F12" s="2">
        <f>F13*EXP(-(C12+E$2))</f>
        <v>778.35855384456545</v>
      </c>
      <c r="G12" s="2">
        <f>G11*EXP(C11-0.5*data!$B$7^2)</f>
        <v>197.82833642192003</v>
      </c>
      <c r="H12" s="2">
        <f t="shared" si="1"/>
        <v>976.18689026648553</v>
      </c>
      <c r="I12" s="2">
        <f t="shared" si="4"/>
        <v>1000</v>
      </c>
      <c r="J12" s="2">
        <f t="shared" si="2"/>
        <v>947.48262595926587</v>
      </c>
      <c r="K12" s="1">
        <f>K11*(1-data!J11)*(1-data!K11)</f>
        <v>0.53884304853593956</v>
      </c>
      <c r="L12" s="10">
        <f>(data!J12+data!K12*(1-data!J12))*K12</f>
        <v>3.5472520149649342E-2</v>
      </c>
      <c r="M12" s="2">
        <f t="shared" si="5"/>
        <v>474.85986313199322</v>
      </c>
      <c r="N12" s="2">
        <f t="shared" si="6"/>
        <v>419.28780076082938</v>
      </c>
      <c r="O12" s="2">
        <f t="shared" si="7"/>
        <v>2581.4215046137269</v>
      </c>
      <c r="P12" s="11">
        <f t="shared" si="8"/>
        <v>2338.2940073847494</v>
      </c>
    </row>
    <row r="13" spans="1:22" x14ac:dyDescent="0.3">
      <c r="A13">
        <v>12</v>
      </c>
      <c r="B13" s="17">
        <v>1.149E-2</v>
      </c>
      <c r="C13" s="1">
        <f t="shared" si="3"/>
        <v>1.8386723371763374E-2</v>
      </c>
      <c r="D13" s="1">
        <f t="shared" si="0"/>
        <v>0.87188835612913607</v>
      </c>
      <c r="E13" s="20"/>
      <c r="F13" s="2">
        <f>F14*EXP(-(C13+E$2))</f>
        <v>797.297862815798</v>
      </c>
      <c r="G13" s="2">
        <f>G12*EXP(C12-0.5*data!$B$7^2)</f>
        <v>198.99397311432872</v>
      </c>
      <c r="H13" s="2">
        <f t="shared" si="1"/>
        <v>996.29183593012669</v>
      </c>
      <c r="I13" s="2">
        <f t="shared" si="4"/>
        <v>1000</v>
      </c>
      <c r="J13" s="2">
        <f t="shared" si="2"/>
        <v>967.00622922213211</v>
      </c>
      <c r="K13" s="1">
        <f>K12*(1-data!J12)*(1-data!K12)</f>
        <v>0.50337052838629026</v>
      </c>
      <c r="L13" s="10">
        <f>(data!J13+data!K13*(1-data!J13))*K13</f>
        <v>3.387190327753388E-2</v>
      </c>
      <c r="M13" s="2">
        <f t="shared" si="5"/>
        <v>504.39238119960731</v>
      </c>
      <c r="N13" s="2">
        <f t="shared" si="6"/>
        <v>448.47359747274282</v>
      </c>
      <c r="O13" s="2">
        <f t="shared" si="7"/>
        <v>2935.811721425096</v>
      </c>
      <c r="P13" s="11">
        <f t="shared" si="8"/>
        <v>2688.5235679277112</v>
      </c>
    </row>
    <row r="14" spans="1:22" x14ac:dyDescent="0.3">
      <c r="A14">
        <v>13</v>
      </c>
      <c r="B14" s="17">
        <v>1.2030000000000001E-2</v>
      </c>
      <c r="C14" s="1">
        <f t="shared" si="3"/>
        <v>1.8362895798707653E-2</v>
      </c>
      <c r="D14" s="1">
        <f t="shared" si="0"/>
        <v>0.85602406404737674</v>
      </c>
      <c r="E14" s="20"/>
      <c r="F14" s="2">
        <f>F15*EXP(-(C14+E$2))</f>
        <v>817.72921243736255</v>
      </c>
      <c r="G14" s="2">
        <f>G13*EXP(C13-0.5*data!$B$7^2)</f>
        <v>200.41921779228983</v>
      </c>
      <c r="H14" s="2">
        <f t="shared" si="1"/>
        <v>1018.1484302296524</v>
      </c>
      <c r="I14" s="2">
        <f t="shared" si="4"/>
        <v>1000</v>
      </c>
      <c r="J14" s="2">
        <f t="shared" si="2"/>
        <v>988.25967515174852</v>
      </c>
      <c r="K14" s="1">
        <f>K13*(1-data!J13)*(1-data!K13)</f>
        <v>0.46949862510875634</v>
      </c>
      <c r="L14" s="10">
        <f>(data!J14+data!K14*(1-data!J14))*K14</f>
        <v>3.2448874452923326E-2</v>
      </c>
      <c r="M14" s="2">
        <f t="shared" si="5"/>
        <v>532.44632308132873</v>
      </c>
      <c r="N14" s="2">
        <f t="shared" si="6"/>
        <v>476.5275393544643</v>
      </c>
      <c r="O14" s="2">
        <f t="shared" si="7"/>
        <v>3300.5129658874753</v>
      </c>
      <c r="P14" s="11">
        <f t="shared" si="8"/>
        <v>3053.2248123900904</v>
      </c>
    </row>
    <row r="15" spans="1:22" x14ac:dyDescent="0.3">
      <c r="A15">
        <v>14</v>
      </c>
      <c r="B15" s="17">
        <v>1.252E-2</v>
      </c>
      <c r="C15" s="1">
        <f t="shared" si="3"/>
        <v>1.8735029427766621E-2</v>
      </c>
      <c r="D15" s="1">
        <f t="shared" si="0"/>
        <v>0.84013572698072225</v>
      </c>
      <c r="E15" s="20"/>
      <c r="F15" s="2">
        <f>F16*EXP(-(C15+E$2))</f>
        <v>838.66414699121037</v>
      </c>
      <c r="G15" s="2">
        <f>G14*EXP(C14-0.5*data!$B$7^2)</f>
        <v>201.84986078001418</v>
      </c>
      <c r="H15" s="2">
        <f t="shared" si="1"/>
        <v>1040.5140077712244</v>
      </c>
      <c r="I15" s="2">
        <f t="shared" si="4"/>
        <v>1009.9695548643349</v>
      </c>
      <c r="J15" s="2">
        <f t="shared" si="2"/>
        <v>1009.9695548643349</v>
      </c>
      <c r="K15" s="1">
        <f>K14*(1-data!J14)*(1-data!K14)</f>
        <v>0.43704975065583301</v>
      </c>
      <c r="L15" s="10">
        <f>(data!J15+data!K15*(1-data!J15))*K15</f>
        <v>3.1289227944148963E-2</v>
      </c>
      <c r="M15" s="2">
        <f t="shared" si="5"/>
        <v>559.59064565381379</v>
      </c>
      <c r="N15" s="2">
        <f t="shared" si="6"/>
        <v>503.67186192694936</v>
      </c>
      <c r="O15" s="2">
        <f t="shared" si="7"/>
        <v>3680.5334819022664</v>
      </c>
      <c r="P15" s="11">
        <f t="shared" si="8"/>
        <v>3433.2453284048815</v>
      </c>
    </row>
    <row r="16" spans="1:22" x14ac:dyDescent="0.3">
      <c r="A16">
        <v>15</v>
      </c>
      <c r="B16" s="17">
        <v>1.299E-2</v>
      </c>
      <c r="C16" s="1">
        <f t="shared" si="3"/>
        <v>1.9403482784214658E-2</v>
      </c>
      <c r="D16" s="1">
        <f t="shared" si="0"/>
        <v>0.82399130340983573</v>
      </c>
      <c r="E16" s="20"/>
      <c r="F16" s="2">
        <f>F17*EXP(-(C16+E$2))</f>
        <v>860.45518791866016</v>
      </c>
      <c r="G16" s="2">
        <f>G15*EXP(C15-0.5*data!$B$7^2)</f>
        <v>203.36638144852566</v>
      </c>
      <c r="H16" s="2">
        <f t="shared" si="1"/>
        <v>1063.8215693671859</v>
      </c>
      <c r="I16" s="2">
        <f t="shared" si="4"/>
        <v>1032.6061491340492</v>
      </c>
      <c r="J16" s="2">
        <f t="shared" si="2"/>
        <v>1032.6061491340492</v>
      </c>
      <c r="K16" s="1">
        <f>K15*(1-data!J15)*(1-data!K15)</f>
        <v>0.40576052271168406</v>
      </c>
      <c r="L16" s="10">
        <f>(data!J16+data!K16*(1-data!J16))*K16</f>
        <v>3.0110640148061345E-2</v>
      </c>
      <c r="M16" s="2">
        <f t="shared" si="5"/>
        <v>585.80384875905372</v>
      </c>
      <c r="N16" s="2">
        <f t="shared" si="6"/>
        <v>529.88506503218935</v>
      </c>
      <c r="O16" s="2">
        <f t="shared" si="7"/>
        <v>4073.7315284808656</v>
      </c>
      <c r="P16" s="11">
        <f t="shared" si="8"/>
        <v>3826.4433749834807</v>
      </c>
    </row>
    <row r="17" spans="1:16" x14ac:dyDescent="0.3">
      <c r="A17">
        <v>16</v>
      </c>
      <c r="B17" s="17">
        <v>1.328E-2</v>
      </c>
      <c r="C17" s="1">
        <f t="shared" si="3"/>
        <v>1.748619733309284E-2</v>
      </c>
      <c r="D17" s="1">
        <f t="shared" si="0"/>
        <v>0.80970807251793986</v>
      </c>
      <c r="E17" s="20"/>
      <c r="F17" s="2">
        <f>F18*EXP(-(C17+E$2))</f>
        <v>883.4027424591992</v>
      </c>
      <c r="G17" s="2">
        <f>G16*EXP(C16-0.5*data!$B$7^2)</f>
        <v>205.03130397356585</v>
      </c>
      <c r="H17" s="2">
        <f t="shared" si="1"/>
        <v>1088.4340464327652</v>
      </c>
      <c r="I17" s="2">
        <f t="shared" si="4"/>
        <v>1056.5193993517496</v>
      </c>
      <c r="J17" s="2">
        <f t="shared" si="2"/>
        <v>1056.5193993517496</v>
      </c>
      <c r="K17" s="1">
        <f>K16*(1-data!J16)*(1-data!K16)</f>
        <v>0.37564988256362275</v>
      </c>
      <c r="L17" s="10">
        <f>(data!J17+data!K17*(1-data!J17))*K17</f>
        <v>2.9326576497720153E-2</v>
      </c>
      <c r="M17" s="2">
        <f t="shared" si="5"/>
        <v>611.42303734161044</v>
      </c>
      <c r="N17" s="2">
        <f t="shared" si="6"/>
        <v>555.50425361474606</v>
      </c>
      <c r="O17" s="2">
        <f t="shared" si="7"/>
        <v>4483.638545801773</v>
      </c>
      <c r="P17" s="11">
        <f t="shared" si="8"/>
        <v>4236.3503923043882</v>
      </c>
    </row>
    <row r="18" spans="1:16" x14ac:dyDescent="0.3">
      <c r="A18">
        <v>17</v>
      </c>
      <c r="B18" s="17">
        <v>1.3469999999999999E-2</v>
      </c>
      <c r="C18" s="1">
        <f t="shared" si="3"/>
        <v>1.6379962735743436E-2</v>
      </c>
      <c r="D18" s="1">
        <f t="shared" si="0"/>
        <v>0.79655311742540935</v>
      </c>
      <c r="E18" s="20"/>
      <c r="F18" s="2">
        <f>F19*EXP(-(C18+E$2))</f>
        <v>905.22504766165673</v>
      </c>
      <c r="G18" s="2">
        <f>G17*EXP(C17-0.5*data!$B$7^2)</f>
        <v>206.31391479495622</v>
      </c>
      <c r="H18" s="2">
        <f t="shared" si="1"/>
        <v>1111.538962456613</v>
      </c>
      <c r="I18" s="2">
        <f t="shared" si="4"/>
        <v>1078.8859410636301</v>
      </c>
      <c r="J18" s="2">
        <f t="shared" si="2"/>
        <v>1078.8859410636301</v>
      </c>
      <c r="K18" s="1">
        <f>K17*(1-data!J17)*(1-data!K17)</f>
        <v>0.34632330606590261</v>
      </c>
      <c r="L18" s="10">
        <f>(data!J18+data!K18*(1-data!J18))*K18</f>
        <v>2.8019363095227533E-2</v>
      </c>
      <c r="M18" s="2">
        <f t="shared" si="5"/>
        <v>635.98700107770094</v>
      </c>
      <c r="N18" s="2">
        <f t="shared" si="6"/>
        <v>580.06821735083656</v>
      </c>
      <c r="O18" s="2">
        <f t="shared" si="7"/>
        <v>4901.225929315312</v>
      </c>
      <c r="P18" s="11">
        <f t="shared" si="8"/>
        <v>4653.9377758179271</v>
      </c>
    </row>
    <row r="19" spans="1:16" x14ac:dyDescent="0.3">
      <c r="A19">
        <v>18</v>
      </c>
      <c r="B19" s="17">
        <v>1.3650000000000001E-2</v>
      </c>
      <c r="C19" s="1">
        <f t="shared" si="3"/>
        <v>1.6576739465710172E-2</v>
      </c>
      <c r="D19" s="1">
        <f t="shared" si="0"/>
        <v>0.78345770343106858</v>
      </c>
      <c r="E19" s="20"/>
      <c r="F19" s="2">
        <f>F20*EXP(-(C19+E$2))</f>
        <v>926.56085873840209</v>
      </c>
      <c r="G19" s="2">
        <f>G18*EXP(C18-0.5*data!$B$7^2)</f>
        <v>207.37501686972931</v>
      </c>
      <c r="H19" s="2">
        <f t="shared" si="1"/>
        <v>1133.9358756081315</v>
      </c>
      <c r="I19" s="2">
        <f t="shared" si="4"/>
        <v>1100.5897067344331</v>
      </c>
      <c r="J19" s="2">
        <f t="shared" si="2"/>
        <v>1100.5897067344331</v>
      </c>
      <c r="K19" s="1">
        <f>K18*(1-data!J18)*(1-data!K18)</f>
        <v>0.31830394297067505</v>
      </c>
      <c r="L19" s="10">
        <f>(data!J19+data!K19*(1-data!J19))*K19</f>
        <v>2.6708452393674649E-2</v>
      </c>
      <c r="M19" s="2">
        <f t="shared" si="5"/>
        <v>659.48677288972726</v>
      </c>
      <c r="N19" s="2">
        <f t="shared" si="6"/>
        <v>603.56798916286289</v>
      </c>
      <c r="O19" s="2">
        <f t="shared" si="7"/>
        <v>5324.2218219317865</v>
      </c>
      <c r="P19" s="11">
        <f t="shared" si="8"/>
        <v>5076.9336684344016</v>
      </c>
    </row>
    <row r="20" spans="1:16" x14ac:dyDescent="0.3">
      <c r="A20">
        <v>19</v>
      </c>
      <c r="B20" s="17">
        <v>1.3899999999999999E-2</v>
      </c>
      <c r="C20" s="1">
        <f t="shared" si="3"/>
        <v>1.8243135774360309E-2</v>
      </c>
      <c r="D20" s="1">
        <f t="shared" si="0"/>
        <v>0.76929456104184279</v>
      </c>
      <c r="E20" s="20"/>
      <c r="F20" s="2">
        <f>F21*EXP(-(C20+E$2))</f>
        <v>948.58618811510655</v>
      </c>
      <c r="G20" s="2">
        <f>G19*EXP(C19-0.5*data!$B$7^2)</f>
        <v>208.48259683235506</v>
      </c>
      <c r="H20" s="2">
        <f t="shared" si="1"/>
        <v>1157.0687849474616</v>
      </c>
      <c r="I20" s="2">
        <f t="shared" si="4"/>
        <v>1123.0507086792177</v>
      </c>
      <c r="J20" s="2">
        <f t="shared" si="2"/>
        <v>1123.0507086792177</v>
      </c>
      <c r="K20" s="1">
        <f>K19*(1-data!J19)*(1-data!K19)</f>
        <v>0.2915954905770004</v>
      </c>
      <c r="L20" s="10">
        <f>(data!J20+data!K20*(1-data!J20))*K20</f>
        <v>2.5455638693787565E-2</v>
      </c>
      <c r="M20" s="2">
        <f t="shared" si="5"/>
        <v>681.96769540685727</v>
      </c>
      <c r="N20" s="2">
        <f t="shared" si="6"/>
        <v>626.0489116799929</v>
      </c>
      <c r="O20" s="2">
        <f t="shared" si="7"/>
        <v>5751.3593497572574</v>
      </c>
      <c r="P20" s="11">
        <f t="shared" si="8"/>
        <v>5504.0711962598725</v>
      </c>
    </row>
    <row r="21" spans="1:16" x14ac:dyDescent="0.3">
      <c r="A21">
        <v>20</v>
      </c>
      <c r="B21" s="17">
        <v>1.4250000000000001E-2</v>
      </c>
      <c r="C21" s="1">
        <f t="shared" si="3"/>
        <v>2.0707123536849101E-2</v>
      </c>
      <c r="D21" s="1">
        <f t="shared" si="0"/>
        <v>0.75352848195457922</v>
      </c>
      <c r="E21" s="20"/>
      <c r="F21" s="2">
        <f>F22*EXP(-(C21+E$2))</f>
        <v>972.75472784124179</v>
      </c>
      <c r="G21" s="2">
        <f>G20*EXP(C20-0.5*data!$B$7^2)</f>
        <v>209.94565365366037</v>
      </c>
      <c r="H21" s="2">
        <f t="shared" si="1"/>
        <v>1182.7003814949021</v>
      </c>
      <c r="I21" s="2">
        <f t="shared" si="4"/>
        <v>1147.9883179464782</v>
      </c>
      <c r="J21" s="2">
        <f t="shared" si="2"/>
        <v>1147.9883179464782</v>
      </c>
      <c r="K21" s="1">
        <f>K20*(1-data!J20)*(1-data!K20)</f>
        <v>0.26613985188321282</v>
      </c>
      <c r="L21" s="10">
        <f>(data!J21+data!K21*(1-data!J21))*K21</f>
        <v>2.4169905826942908E-2</v>
      </c>
      <c r="M21" s="2">
        <f t="shared" si="5"/>
        <v>703.39421475659356</v>
      </c>
      <c r="N21" s="2">
        <f t="shared" si="6"/>
        <v>647.47543102972918</v>
      </c>
      <c r="O21" s="2">
        <f t="shared" si="7"/>
        <v>6179.8897367519839</v>
      </c>
      <c r="P21" s="11">
        <f t="shared" si="8"/>
        <v>5932.6015832545991</v>
      </c>
    </row>
    <row r="22" spans="1:16" x14ac:dyDescent="0.3">
      <c r="F22" s="2">
        <f>data!B4</f>
        <v>1000</v>
      </c>
      <c r="G22" s="2">
        <f>G21*EXP(C21-0.5*data!$B$7^2)</f>
        <v>211.94055377657506</v>
      </c>
      <c r="H22" s="2">
        <f t="shared" si="1"/>
        <v>1211.9405537765751</v>
      </c>
      <c r="I22" s="2">
        <f t="shared" si="4"/>
        <v>1176.459542331728</v>
      </c>
      <c r="J22" s="2">
        <f t="shared" si="2"/>
        <v>1176.459542331728</v>
      </c>
      <c r="K22" s="1">
        <f>K21*(1-data!J21)*(1-data!K21)</f>
        <v>0.24196994605626992</v>
      </c>
      <c r="L22" s="10"/>
      <c r="M22" s="6">
        <f>$D21*$K22*I22+M21</f>
        <v>917.89954913195231</v>
      </c>
      <c r="N22" s="7">
        <f>$D21*$K22*J22+N21</f>
        <v>861.98076540508794</v>
      </c>
      <c r="O22" s="2">
        <f>$D21*$K22*I22*$A21+O21</f>
        <v>10469.99642425916</v>
      </c>
      <c r="P22" s="11">
        <f>$D21*$K22*J22*$A21+P21</f>
        <v>10222.708270761774</v>
      </c>
    </row>
    <row r="23" spans="1:16" x14ac:dyDescent="0.3">
      <c r="O23" s="6">
        <f>O22/M22</f>
        <v>11.406473000406768</v>
      </c>
      <c r="P23" s="7">
        <f>P22/N22</f>
        <v>11.859554970414695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F8C5-6703-4C61-A96F-3CC37331F90E}">
  <dimension ref="A1:V23"/>
  <sheetViews>
    <sheetView topLeftCell="B1" workbookViewId="0">
      <selection activeCell="V7" sqref="V7"/>
    </sheetView>
  </sheetViews>
  <sheetFormatPr defaultRowHeight="14.4" x14ac:dyDescent="0.3"/>
  <sheetData>
    <row r="1" spans="1:22" x14ac:dyDescent="0.3">
      <c r="A1" t="s">
        <v>10</v>
      </c>
      <c r="B1" t="s">
        <v>6</v>
      </c>
      <c r="C1" t="s">
        <v>9</v>
      </c>
      <c r="D1" t="s">
        <v>15</v>
      </c>
      <c r="E1" s="18" t="s">
        <v>12</v>
      </c>
      <c r="F1" s="12" t="s">
        <v>11</v>
      </c>
      <c r="G1" s="12" t="s">
        <v>13</v>
      </c>
      <c r="H1" s="12" t="s">
        <v>16</v>
      </c>
      <c r="I1" s="12" t="s">
        <v>17</v>
      </c>
      <c r="J1" s="12" t="s">
        <v>18</v>
      </c>
      <c r="K1" s="12" t="s">
        <v>19</v>
      </c>
      <c r="L1" s="13" t="s">
        <v>20</v>
      </c>
      <c r="M1" s="12" t="s">
        <v>26</v>
      </c>
      <c r="N1" s="12" t="s">
        <v>27</v>
      </c>
      <c r="O1" s="12" t="s">
        <v>22</v>
      </c>
      <c r="P1" s="13" t="s">
        <v>23</v>
      </c>
      <c r="Q1" s="14" t="s">
        <v>24</v>
      </c>
      <c r="R1" s="14" t="s">
        <v>25</v>
      </c>
      <c r="S1" s="14" t="s">
        <v>29</v>
      </c>
      <c r="T1" s="14" t="s">
        <v>28</v>
      </c>
      <c r="U1" s="14" t="s">
        <v>30</v>
      </c>
      <c r="V1" s="14" t="s">
        <v>31</v>
      </c>
    </row>
    <row r="2" spans="1:22" x14ac:dyDescent="0.3">
      <c r="A2">
        <v>1</v>
      </c>
      <c r="B2" s="17">
        <v>-5.6499999999999996E-3</v>
      </c>
      <c r="C2" s="1">
        <f>-LN( (1+B2) ^ (-1))</f>
        <v>-5.6660216266269155E-3</v>
      </c>
      <c r="D2" s="1">
        <f>(1+B2)^(-A2)</f>
        <v>1.0056821038869614</v>
      </c>
      <c r="E2" s="19">
        <f>-LN(data!B3/data!B4)/data!B5-LN(1+data!E21)</f>
        <v>6.9161833084558722E-3</v>
      </c>
      <c r="F2" s="2">
        <f>F3*EXP(-(C2+E$2))</f>
        <v>817.56569381297572</v>
      </c>
      <c r="G2" s="2">
        <f>data!B6</f>
        <v>200</v>
      </c>
      <c r="H2" s="2">
        <f>F2+G2</f>
        <v>1017.5656938129757</v>
      </c>
      <c r="K2">
        <v>1</v>
      </c>
      <c r="L2" s="10">
        <f>(data!J2+data!K2*(1-data!J2))*K2</f>
        <v>5.6210577500000004E-2</v>
      </c>
      <c r="M2" s="2">
        <f>$D2*$L2*I3</f>
        <v>56.529971840901105</v>
      </c>
      <c r="N2" s="2">
        <f>$D2*$L2*J3</f>
        <v>55.665442115140898</v>
      </c>
      <c r="O2" s="2">
        <f>$D2*$L2*I3*$A2</f>
        <v>56.529971840901105</v>
      </c>
      <c r="P2" s="21">
        <f>$D2*$L2*J3*$A2</f>
        <v>55.665442115140898</v>
      </c>
      <c r="Q2" s="2">
        <f>$H2-M22</f>
        <v>-18.767090531306849</v>
      </c>
      <c r="R2" s="2">
        <f>$H2-N22</f>
        <v>-14.101079324991133</v>
      </c>
      <c r="S2" s="2">
        <f>plain_case!M2-Q2</f>
        <v>-5.7319007757946565</v>
      </c>
      <c r="T2" s="2">
        <f>plain_case!N2-R2</f>
        <v>0.89344978408780662</v>
      </c>
      <c r="U2" s="6">
        <f>MAX(S2,0)</f>
        <v>0</v>
      </c>
      <c r="V2" s="7">
        <f>MAX(T2,0)</f>
        <v>0.89344978408780662</v>
      </c>
    </row>
    <row r="3" spans="1:22" x14ac:dyDescent="0.3">
      <c r="A3">
        <v>2</v>
      </c>
      <c r="B3" s="17">
        <v>-5.45E-3</v>
      </c>
      <c r="C3" s="1">
        <f>-LN((1+B2)^(A2)/((1+B3)^(A3)))</f>
        <v>-5.2637892355078056E-3</v>
      </c>
      <c r="D3" s="1">
        <f t="shared" ref="D3:D21" si="0">(1+B3)^(-A3)</f>
        <v>1.0109897594547261</v>
      </c>
      <c r="E3" s="20"/>
      <c r="F3" s="2">
        <f>F4*EXP(-(C3+E$2))</f>
        <v>818.58842227052071</v>
      </c>
      <c r="G3" s="2">
        <f>G2*EXP(C2-0.5*data!$B$7^2)</f>
        <v>196.64525018183591</v>
      </c>
      <c r="H3" s="2">
        <f t="shared" ref="H3:H22" si="1">F3+G3</f>
        <v>1015.2336724523566</v>
      </c>
      <c r="I3" s="2">
        <f>MAX(J3,1000)</f>
        <v>1000</v>
      </c>
      <c r="J3" s="2">
        <f t="shared" ref="J3:J22" si="2">H3-H2*0.03</f>
        <v>984.70670163796729</v>
      </c>
      <c r="K3" s="1">
        <f>K2*(1-data!J2)*(1-data!K2)</f>
        <v>0.94378942249999997</v>
      </c>
      <c r="L3" s="10">
        <f>(data!J3+data!K3*(1-data!J3))*K3</f>
        <v>5.3695478318161925E-2</v>
      </c>
      <c r="M3" s="2">
        <f>$D3*$L3*I4+M2</f>
        <v>110.81555054958609</v>
      </c>
      <c r="N3" s="2">
        <f>$D3*$L3*J4+N2</f>
        <v>109.02326502847716</v>
      </c>
      <c r="O3" s="2">
        <f>$D3*$L3*I4*$A3+O2</f>
        <v>165.10112925827107</v>
      </c>
      <c r="P3" s="11">
        <f>$D3*$L3*J4*$A3+P2</f>
        <v>162.3810879418134</v>
      </c>
    </row>
    <row r="4" spans="1:22" x14ac:dyDescent="0.3">
      <c r="A4">
        <v>3</v>
      </c>
      <c r="B4" s="17">
        <v>-4.9500000000000004E-3</v>
      </c>
      <c r="C4" s="1">
        <f t="shared" ref="C4:C21" si="3">-LN((1+B3)^(A3)/((1+B4)^(A4)))</f>
        <v>-3.9570646273102954E-3</v>
      </c>
      <c r="D4" s="1">
        <f t="shared" si="0"/>
        <v>1.0149982369421608</v>
      </c>
      <c r="E4" s="20"/>
      <c r="F4" s="2">
        <f>F5*EXP(-(C4+E$2))</f>
        <v>819.94217108289763</v>
      </c>
      <c r="G4" s="2">
        <f>G3*EXP(C3-0.5*data!$B$7^2)</f>
        <v>193.42455807281033</v>
      </c>
      <c r="H4" s="2">
        <f t="shared" si="1"/>
        <v>1013.366729155708</v>
      </c>
      <c r="I4" s="2">
        <f t="shared" ref="I4:I22" si="4">MAX(J4,1000)</f>
        <v>1000</v>
      </c>
      <c r="J4" s="2">
        <f t="shared" si="2"/>
        <v>982.90971898213729</v>
      </c>
      <c r="K4" s="1">
        <f>K3*(1-data!J3)*(1-data!K3)</f>
        <v>0.89009394418183796</v>
      </c>
      <c r="L4" s="10">
        <f>(data!J4+data!K4*(1-data!J4))*K4</f>
        <v>5.1244347919593598E-2</v>
      </c>
      <c r="M4" s="2">
        <f t="shared" ref="M4:M21" si="5">D4*L4*I5+M3</f>
        <v>162.82847334122428</v>
      </c>
      <c r="N4" s="2">
        <f t="shared" ref="N4:N21" si="6">$D4*$L4*J5+N3</f>
        <v>160.12473725427327</v>
      </c>
      <c r="O4" s="2">
        <f t="shared" ref="O4:P21" si="7">$D4*$L4*I5*$A4+O3</f>
        <v>321.13989763318568</v>
      </c>
      <c r="P4" s="11">
        <f t="shared" si="7"/>
        <v>315.68550461920177</v>
      </c>
    </row>
    <row r="5" spans="1:22" x14ac:dyDescent="0.3">
      <c r="A5">
        <v>4</v>
      </c>
      <c r="B5" s="17">
        <v>-4.3800000000000002E-3</v>
      </c>
      <c r="C5" s="1">
        <f t="shared" si="3"/>
        <v>-2.6716057167867108E-3</v>
      </c>
      <c r="D5" s="1">
        <f t="shared" si="0"/>
        <v>1.0177135375257522</v>
      </c>
      <c r="E5" s="20"/>
      <c r="F5" s="2">
        <f>F6*EXP(-(C5+E$2))</f>
        <v>822.37207068636894</v>
      </c>
      <c r="G5" s="2">
        <f>G4*EXP(C4-0.5*data!$B$7^2)</f>
        <v>190.50539055796133</v>
      </c>
      <c r="H5" s="2">
        <f t="shared" si="1"/>
        <v>1012.8774612443303</v>
      </c>
      <c r="I5" s="2">
        <f t="shared" si="4"/>
        <v>1000</v>
      </c>
      <c r="J5" s="2">
        <f t="shared" si="2"/>
        <v>982.4764593696591</v>
      </c>
      <c r="K5" s="1">
        <f>K4*(1-data!J4)*(1-data!K4)</f>
        <v>0.83884959626224431</v>
      </c>
      <c r="L5" s="10">
        <f>(data!J5+data!K5*(1-data!J5))*K5</f>
        <v>4.8825510021164337E-2</v>
      </c>
      <c r="M5" s="2">
        <f t="shared" si="5"/>
        <v>212.51885586636251</v>
      </c>
      <c r="N5" s="2">
        <f t="shared" si="6"/>
        <v>208.98804387422729</v>
      </c>
      <c r="O5" s="2">
        <f t="shared" si="7"/>
        <v>519.90142773373861</v>
      </c>
      <c r="P5" s="11">
        <f t="shared" si="7"/>
        <v>511.13873109901789</v>
      </c>
    </row>
    <row r="6" spans="1:22" x14ac:dyDescent="0.3">
      <c r="A6">
        <v>5</v>
      </c>
      <c r="B6" s="17">
        <v>-3.5599999999999998E-3</v>
      </c>
      <c r="C6" s="1">
        <f t="shared" si="3"/>
        <v>-2.7327819181035526E-4</v>
      </c>
      <c r="D6" s="1">
        <f t="shared" si="0"/>
        <v>1.0179916944464473</v>
      </c>
      <c r="E6" s="20"/>
      <c r="F6" s="2">
        <f>F7*EXP(-(C6+E$2))</f>
        <v>825.87011135027581</v>
      </c>
      <c r="G6" s="2">
        <f>G5*EXP(C5-0.5*data!$B$7^2)</f>
        <v>187.87162528216035</v>
      </c>
      <c r="H6" s="2">
        <f t="shared" si="1"/>
        <v>1013.7417366324362</v>
      </c>
      <c r="I6" s="2">
        <f t="shared" si="4"/>
        <v>1000</v>
      </c>
      <c r="J6" s="2">
        <f t="shared" si="2"/>
        <v>983.3554127951063</v>
      </c>
      <c r="K6" s="1">
        <f>K5*(1-data!J5)*(1-data!K5)</f>
        <v>0.79002408624107989</v>
      </c>
      <c r="L6" s="10">
        <f>(data!J6+data!K6*(1-data!J6))*K6</f>
        <v>4.6605121041147987E-2</v>
      </c>
      <c r="M6" s="2">
        <f t="shared" si="5"/>
        <v>259.96248200492255</v>
      </c>
      <c r="N6" s="2">
        <f t="shared" si="6"/>
        <v>255.79978981941997</v>
      </c>
      <c r="O6" s="2">
        <f t="shared" si="7"/>
        <v>757.11955842653867</v>
      </c>
      <c r="P6" s="11">
        <f t="shared" si="7"/>
        <v>745.19746082498125</v>
      </c>
    </row>
    <row r="7" spans="1:22" x14ac:dyDescent="0.3">
      <c r="A7">
        <v>6</v>
      </c>
      <c r="B7" s="17">
        <v>-2.7599999999999999E-3</v>
      </c>
      <c r="C7" s="1">
        <f t="shared" si="3"/>
        <v>1.2488644616558237E-3</v>
      </c>
      <c r="D7" s="1">
        <f t="shared" si="0"/>
        <v>1.016721154328327</v>
      </c>
      <c r="E7" s="20"/>
      <c r="F7" s="2">
        <f>F8*EXP(-(C7+E$2))</f>
        <v>831.37455063085019</v>
      </c>
      <c r="G7" s="2">
        <f>G6*EXP(C6-0.5*data!$B$7^2)</f>
        <v>185.71915386128686</v>
      </c>
      <c r="H7" s="2">
        <f t="shared" si="1"/>
        <v>1017.093704492137</v>
      </c>
      <c r="I7" s="2">
        <f t="shared" si="4"/>
        <v>1000</v>
      </c>
      <c r="J7" s="2">
        <f t="shared" si="2"/>
        <v>986.68145239316391</v>
      </c>
      <c r="K7" s="1">
        <f>K6*(1-data!J6)*(1-data!K6)</f>
        <v>0.74341896519993189</v>
      </c>
      <c r="L7" s="10">
        <f>(data!J7+data!K7*(1-data!J7))*K7</f>
        <v>4.4590104865391118E-2</v>
      </c>
      <c r="M7" s="2">
        <f t="shared" si="5"/>
        <v>305.29818489528418</v>
      </c>
      <c r="N7" s="2">
        <f t="shared" si="6"/>
        <v>300.75234933487326</v>
      </c>
      <c r="O7" s="2">
        <f t="shared" si="7"/>
        <v>1029.1337757687083</v>
      </c>
      <c r="P7" s="11">
        <f t="shared" si="7"/>
        <v>1014.9128179177011</v>
      </c>
    </row>
    <row r="8" spans="1:22" x14ac:dyDescent="0.3">
      <c r="A8">
        <v>7</v>
      </c>
      <c r="B8" s="17">
        <v>-2.0799999999999998E-3</v>
      </c>
      <c r="C8" s="1">
        <f t="shared" si="3"/>
        <v>2.0077315061145422E-3</v>
      </c>
      <c r="D8" s="1">
        <f t="shared" si="0"/>
        <v>1.0146818990573945</v>
      </c>
      <c r="E8" s="20"/>
      <c r="F8" s="2">
        <f>F9*EXP(-(C8+E$2))</f>
        <v>838.19055217331049</v>
      </c>
      <c r="G8" s="2">
        <f>G7*EXP(C7-0.5*data!$B$7^2)</f>
        <v>183.87100861170401</v>
      </c>
      <c r="H8" s="2">
        <f t="shared" si="1"/>
        <v>1022.0615607850145</v>
      </c>
      <c r="I8" s="2">
        <f t="shared" si="4"/>
        <v>1000</v>
      </c>
      <c r="J8" s="2">
        <f t="shared" si="2"/>
        <v>991.54874965025044</v>
      </c>
      <c r="K8" s="1">
        <f>K7*(1-data!J7)*(1-data!K7)</f>
        <v>0.69882886033454072</v>
      </c>
      <c r="L8" s="10">
        <f>(data!J8+data!K8*(1-data!J8))*K8</f>
        <v>4.2627280924763714E-2</v>
      </c>
      <c r="M8" s="2">
        <f t="shared" si="5"/>
        <v>348.55131525567646</v>
      </c>
      <c r="N8" s="2">
        <f t="shared" si="6"/>
        <v>343.8853040493608</v>
      </c>
      <c r="O8" s="2">
        <f t="shared" si="7"/>
        <v>1331.9056882914545</v>
      </c>
      <c r="P8" s="11">
        <f t="shared" si="7"/>
        <v>1316.8435009191137</v>
      </c>
    </row>
    <row r="9" spans="1:22" x14ac:dyDescent="0.3">
      <c r="A9">
        <v>8</v>
      </c>
      <c r="B9" s="17">
        <v>-1.16E-3</v>
      </c>
      <c r="C9" s="1">
        <f t="shared" si="3"/>
        <v>5.2897768642571411E-3</v>
      </c>
      <c r="D9" s="1">
        <f t="shared" si="0"/>
        <v>1.0093286295066992</v>
      </c>
      <c r="E9" s="20"/>
      <c r="F9" s="2">
        <f>F10*EXP(-(C9+E$2))</f>
        <v>845.70396793878626</v>
      </c>
      <c r="G9" s="2">
        <f>G8*EXP(C8-0.5*data!$B$7^2)</f>
        <v>182.17945233150778</v>
      </c>
      <c r="H9" s="2">
        <f t="shared" si="1"/>
        <v>1027.883420270294</v>
      </c>
      <c r="I9" s="2">
        <f t="shared" si="4"/>
        <v>1000</v>
      </c>
      <c r="J9" s="2">
        <f t="shared" si="2"/>
        <v>997.22157344674361</v>
      </c>
      <c r="K9" s="1">
        <f>K8*(1-data!J8)*(1-data!K8)</f>
        <v>0.65620157940977697</v>
      </c>
      <c r="L9" s="10">
        <f>(data!J9+data!K9*(1-data!J9))*K9</f>
        <v>4.0852328039356019E-2</v>
      </c>
      <c r="M9" s="2">
        <f t="shared" si="5"/>
        <v>390.04658009304364</v>
      </c>
      <c r="N9" s="2">
        <f t="shared" si="6"/>
        <v>385.38056888672799</v>
      </c>
      <c r="O9" s="2">
        <f t="shared" si="7"/>
        <v>1663.8678069903922</v>
      </c>
      <c r="P9" s="11">
        <f t="shared" si="7"/>
        <v>1648.8056196180514</v>
      </c>
    </row>
    <row r="10" spans="1:22" x14ac:dyDescent="0.3">
      <c r="A10">
        <v>9</v>
      </c>
      <c r="B10" s="17">
        <v>-5.4000000000000001E-4</v>
      </c>
      <c r="C10" s="1">
        <f t="shared" si="3"/>
        <v>4.424073893431418E-3</v>
      </c>
      <c r="D10" s="1">
        <f t="shared" si="0"/>
        <v>1.004873148023709</v>
      </c>
      <c r="E10" s="20"/>
      <c r="F10" s="2">
        <f>F11*EXP(-(C10+E$2))</f>
        <v>856.08985279262549</v>
      </c>
      <c r="G10" s="2">
        <f>G9*EXP(C9-0.5*data!$B$7^2)</f>
        <v>181.0968516206469</v>
      </c>
      <c r="H10" s="2">
        <f t="shared" si="1"/>
        <v>1037.1867044132723</v>
      </c>
      <c r="I10" s="2">
        <f t="shared" si="4"/>
        <v>1006.3502018051635</v>
      </c>
      <c r="J10" s="2">
        <f t="shared" si="2"/>
        <v>1006.3502018051635</v>
      </c>
      <c r="K10" s="1">
        <f>K9*(1-data!J9)*(1-data!K9)</f>
        <v>0.61534925137042085</v>
      </c>
      <c r="L10" s="10">
        <f>(data!J10+data!K10*(1-data!J10))*K10</f>
        <v>3.9045520676118668E-2</v>
      </c>
      <c r="M10" s="2">
        <f t="shared" si="5"/>
        <v>429.85532367951055</v>
      </c>
      <c r="N10" s="2">
        <f t="shared" si="6"/>
        <v>425.18931247319489</v>
      </c>
      <c r="O10" s="2">
        <f t="shared" si="7"/>
        <v>2022.1464992685942</v>
      </c>
      <c r="P10" s="11">
        <f t="shared" si="7"/>
        <v>2007.0843118962534</v>
      </c>
    </row>
    <row r="11" spans="1:22" x14ac:dyDescent="0.3">
      <c r="A11">
        <v>10</v>
      </c>
      <c r="B11" s="17">
        <v>2.1000000000000001E-4</v>
      </c>
      <c r="C11" s="1">
        <f t="shared" si="3"/>
        <v>6.9610922034489863E-3</v>
      </c>
      <c r="D11" s="1">
        <f t="shared" si="0"/>
        <v>0.99790242346396896</v>
      </c>
      <c r="E11" s="20"/>
      <c r="F11" s="2">
        <f>F12*EXP(-(C11+E$2))</f>
        <v>865.85338777668721</v>
      </c>
      <c r="G11" s="2">
        <f>G10*EXP(C10-0.5*data!$B$7^2)</f>
        <v>179.86490725730363</v>
      </c>
      <c r="H11" s="2">
        <f t="shared" si="1"/>
        <v>1045.7182950339909</v>
      </c>
      <c r="I11" s="2">
        <f t="shared" si="4"/>
        <v>1014.6026939015927</v>
      </c>
      <c r="J11" s="2">
        <f t="shared" si="2"/>
        <v>1014.6026939015927</v>
      </c>
      <c r="K11" s="1">
        <f>K10*(1-data!J10)*(1-data!K10)</f>
        <v>0.57630373069430219</v>
      </c>
      <c r="L11" s="10">
        <f>(data!J11+data!K11*(1-data!J11))*K11</f>
        <v>3.746068215836254E-2</v>
      </c>
      <c r="M11" s="2">
        <f t="shared" si="5"/>
        <v>468.19726781698625</v>
      </c>
      <c r="N11" s="2">
        <f t="shared" si="6"/>
        <v>463.5312566106706</v>
      </c>
      <c r="O11" s="2">
        <f t="shared" si="7"/>
        <v>2405.5659406433515</v>
      </c>
      <c r="P11" s="11">
        <f t="shared" si="7"/>
        <v>2390.5037532710103</v>
      </c>
    </row>
    <row r="12" spans="1:22" x14ac:dyDescent="0.3">
      <c r="A12">
        <v>11</v>
      </c>
      <c r="B12" s="17">
        <v>7.5000000000000002E-4</v>
      </c>
      <c r="C12" s="1">
        <f t="shared" si="3"/>
        <v>6.1471282651392716E-3</v>
      </c>
      <c r="D12" s="1">
        <f t="shared" si="0"/>
        <v>0.99178700465976166</v>
      </c>
      <c r="E12" s="20"/>
      <c r="F12" s="2">
        <f>F13*EXP(-(C12+E$2))</f>
        <v>877.95283328714856</v>
      </c>
      <c r="G12" s="2">
        <f>G11*EXP(C11-0.5*data!$B$7^2)</f>
        <v>179.09513517496339</v>
      </c>
      <c r="H12" s="2">
        <f t="shared" si="1"/>
        <v>1057.0479684621118</v>
      </c>
      <c r="I12" s="2">
        <f t="shared" si="4"/>
        <v>1025.6764196110921</v>
      </c>
      <c r="J12" s="2">
        <f t="shared" si="2"/>
        <v>1025.6764196110921</v>
      </c>
      <c r="K12" s="1">
        <f>K11*(1-data!J11)*(1-data!K11)</f>
        <v>0.53884304853593956</v>
      </c>
      <c r="L12" s="10">
        <f>(data!J12+data!K12*(1-data!J12))*K12</f>
        <v>3.5472520149649342E-2</v>
      </c>
      <c r="M12" s="2">
        <f t="shared" si="5"/>
        <v>504.64389025099126</v>
      </c>
      <c r="N12" s="2">
        <f t="shared" si="6"/>
        <v>499.9778790446756</v>
      </c>
      <c r="O12" s="2">
        <f t="shared" si="7"/>
        <v>2806.4787874174067</v>
      </c>
      <c r="P12" s="11">
        <f t="shared" si="7"/>
        <v>2791.4166000450655</v>
      </c>
    </row>
    <row r="13" spans="1:22" x14ac:dyDescent="0.3">
      <c r="A13">
        <v>12</v>
      </c>
      <c r="B13" s="17">
        <v>1.1999999999999999E-3</v>
      </c>
      <c r="C13" s="1">
        <f t="shared" si="3"/>
        <v>6.1444591097805385E-3</v>
      </c>
      <c r="D13" s="1">
        <f t="shared" si="0"/>
        <v>0.98571169382763135</v>
      </c>
      <c r="E13" s="20"/>
      <c r="F13" s="2">
        <f>F14*EXP(-(C13+E$2))</f>
        <v>889.4970433337287</v>
      </c>
      <c r="G13" s="2">
        <f>G12*EXP(C12-0.5*data!$B$7^2)</f>
        <v>178.18356346663694</v>
      </c>
      <c r="H13" s="2">
        <f t="shared" si="1"/>
        <v>1067.6806068003657</v>
      </c>
      <c r="I13" s="2">
        <f t="shared" si="4"/>
        <v>1035.9691677465023</v>
      </c>
      <c r="J13" s="2">
        <f t="shared" si="2"/>
        <v>1035.9691677465023</v>
      </c>
      <c r="K13" s="1">
        <f>K12*(1-data!J12)*(1-data!K12)</f>
        <v>0.50337052838629026</v>
      </c>
      <c r="L13" s="10">
        <f>(data!J13+data!K13*(1-data!J13))*K13</f>
        <v>3.387190327753388E-2</v>
      </c>
      <c r="M13" s="2">
        <f t="shared" si="5"/>
        <v>539.58223616401347</v>
      </c>
      <c r="N13" s="2">
        <f t="shared" si="6"/>
        <v>534.91622495769775</v>
      </c>
      <c r="O13" s="2">
        <f t="shared" si="7"/>
        <v>3225.7389383736727</v>
      </c>
      <c r="P13" s="11">
        <f t="shared" si="7"/>
        <v>3210.6767510013315</v>
      </c>
    </row>
    <row r="14" spans="1:22" x14ac:dyDescent="0.3">
      <c r="A14">
        <v>13</v>
      </c>
      <c r="B14" s="17">
        <v>1.6000000000000001E-3</v>
      </c>
      <c r="C14" s="1">
        <f t="shared" si="3"/>
        <v>6.3920108222758898E-3</v>
      </c>
      <c r="D14" s="1">
        <f t="shared" si="0"/>
        <v>0.97943110818297596</v>
      </c>
      <c r="E14" s="20"/>
      <c r="F14" s="2">
        <f>F15*EXP(-(C14+E$2))</f>
        <v>901.1906428855375</v>
      </c>
      <c r="G14" s="2">
        <f>G13*EXP(C13-0.5*data!$B$7^2)</f>
        <v>177.27615836539289</v>
      </c>
      <c r="H14" s="2">
        <f t="shared" si="1"/>
        <v>1078.4668012509303</v>
      </c>
      <c r="I14" s="2">
        <f t="shared" si="4"/>
        <v>1046.4363830469192</v>
      </c>
      <c r="J14" s="2">
        <f t="shared" si="2"/>
        <v>1046.4363830469192</v>
      </c>
      <c r="K14" s="1">
        <f>K13*(1-data!J13)*(1-data!K13)</f>
        <v>0.46949862510875634</v>
      </c>
      <c r="L14" s="10">
        <f>(data!J14+data!K14*(1-data!J14))*K14</f>
        <v>3.2448874452923326E-2</v>
      </c>
      <c r="M14" s="2">
        <f t="shared" si="5"/>
        <v>573.18560955618716</v>
      </c>
      <c r="N14" s="2">
        <f t="shared" si="6"/>
        <v>568.51959834987144</v>
      </c>
      <c r="O14" s="2">
        <f t="shared" si="7"/>
        <v>3662.582792471931</v>
      </c>
      <c r="P14" s="11">
        <f t="shared" si="7"/>
        <v>3647.5206050995898</v>
      </c>
    </row>
    <row r="15" spans="1:22" x14ac:dyDescent="0.3">
      <c r="A15">
        <v>14</v>
      </c>
      <c r="B15" s="17">
        <v>1.9499999999999999E-3</v>
      </c>
      <c r="C15" s="1">
        <f t="shared" si="3"/>
        <v>6.4900393241590793E-3</v>
      </c>
      <c r="D15" s="1">
        <f t="shared" si="0"/>
        <v>0.97309514434234456</v>
      </c>
      <c r="E15" s="20"/>
      <c r="F15" s="2">
        <f>F16*EXP(-(C15+E$2))</f>
        <v>913.2640221569261</v>
      </c>
      <c r="G15" s="2">
        <f>G14*EXP(C14-0.5*data!$B$7^2)</f>
        <v>176.41704118716308</v>
      </c>
      <c r="H15" s="2">
        <f t="shared" si="1"/>
        <v>1089.6810633440891</v>
      </c>
      <c r="I15" s="2">
        <f t="shared" si="4"/>
        <v>1057.3270593065613</v>
      </c>
      <c r="J15" s="2">
        <f t="shared" si="2"/>
        <v>1057.3270593065613</v>
      </c>
      <c r="K15" s="1">
        <f>K14*(1-data!J14)*(1-data!K14)</f>
        <v>0.43704975065583301</v>
      </c>
      <c r="L15" s="10">
        <f>(data!J15+data!K15*(1-data!J15))*K15</f>
        <v>3.1289227944148963E-2</v>
      </c>
      <c r="M15" s="2">
        <f t="shared" si="5"/>
        <v>605.71800483477909</v>
      </c>
      <c r="N15" s="2">
        <f t="shared" si="6"/>
        <v>601.05199362846338</v>
      </c>
      <c r="O15" s="2">
        <f t="shared" si="7"/>
        <v>4118.0363263722184</v>
      </c>
      <c r="P15" s="11">
        <f t="shared" si="7"/>
        <v>4102.9741389998771</v>
      </c>
    </row>
    <row r="16" spans="1:22" x14ac:dyDescent="0.3">
      <c r="A16">
        <v>15</v>
      </c>
      <c r="B16" s="17">
        <v>2.32E-3</v>
      </c>
      <c r="C16" s="1">
        <f t="shared" si="3"/>
        <v>7.4862772751827849E-3</v>
      </c>
      <c r="D16" s="1">
        <f t="shared" si="0"/>
        <v>0.96583748459913576</v>
      </c>
      <c r="E16" s="20"/>
      <c r="F16" s="2">
        <f>F17*EXP(-(C16+E$2))</f>
        <v>925.58987995047767</v>
      </c>
      <c r="G16" s="2">
        <f>G15*EXP(C15-0.5*data!$B$7^2)</f>
        <v>175.57929840166506</v>
      </c>
      <c r="H16" s="2">
        <f t="shared" si="1"/>
        <v>1101.1691783521428</v>
      </c>
      <c r="I16" s="2">
        <f t="shared" si="4"/>
        <v>1068.4787464518201</v>
      </c>
      <c r="J16" s="2">
        <f t="shared" si="2"/>
        <v>1068.4787464518201</v>
      </c>
      <c r="K16" s="1">
        <f>K15*(1-data!J15)*(1-data!K15)</f>
        <v>0.40576052271168406</v>
      </c>
      <c r="L16" s="10">
        <f>(data!J16+data!K16*(1-data!J16))*K16</f>
        <v>3.0110640148061345E-2</v>
      </c>
      <c r="M16" s="2">
        <f t="shared" si="5"/>
        <v>637.15277311916395</v>
      </c>
      <c r="N16" s="2">
        <f t="shared" si="6"/>
        <v>632.48676191284824</v>
      </c>
      <c r="O16" s="2">
        <f t="shared" si="7"/>
        <v>4589.5578506379907</v>
      </c>
      <c r="P16" s="11">
        <f t="shared" si="7"/>
        <v>4574.4956632656495</v>
      </c>
    </row>
    <row r="17" spans="1:16" x14ac:dyDescent="0.3">
      <c r="A17">
        <v>16</v>
      </c>
      <c r="B17" s="17">
        <v>2.5000000000000001E-3</v>
      </c>
      <c r="C17" s="1">
        <f t="shared" si="3"/>
        <v>5.1903888499909385E-3</v>
      </c>
      <c r="D17" s="1">
        <f t="shared" si="0"/>
        <v>0.9608373999053329</v>
      </c>
      <c r="E17" s="20"/>
      <c r="F17" s="2">
        <f>F18*EXP(-(C17+E$2))</f>
        <v>939.01711220364518</v>
      </c>
      <c r="G17" s="2">
        <f>G16*EXP(C16-0.5*data!$B$7^2)</f>
        <v>174.91970864137221</v>
      </c>
      <c r="H17" s="2">
        <f t="shared" si="1"/>
        <v>1113.9368208450173</v>
      </c>
      <c r="I17" s="2">
        <f t="shared" si="4"/>
        <v>1080.9017454944531</v>
      </c>
      <c r="J17" s="2">
        <f t="shared" si="2"/>
        <v>1080.9017454944531</v>
      </c>
      <c r="K17" s="1">
        <f>K16*(1-data!J16)*(1-data!K16)</f>
        <v>0.37564988256362275</v>
      </c>
      <c r="L17" s="10">
        <f>(data!J17+data!K17*(1-data!J17))*K17</f>
        <v>2.9326576497720153E-2</v>
      </c>
      <c r="M17" s="2">
        <f t="shared" si="5"/>
        <v>667.89221296237577</v>
      </c>
      <c r="N17" s="2">
        <f t="shared" si="6"/>
        <v>663.22620175606005</v>
      </c>
      <c r="O17" s="2">
        <f t="shared" si="7"/>
        <v>5081.3888881293797</v>
      </c>
      <c r="P17" s="11">
        <f t="shared" si="7"/>
        <v>5066.3267007570385</v>
      </c>
    </row>
    <row r="18" spans="1:16" x14ac:dyDescent="0.3">
      <c r="A18">
        <v>17</v>
      </c>
      <c r="B18" s="17">
        <v>2.64E-3</v>
      </c>
      <c r="C18" s="1">
        <f t="shared" si="3"/>
        <v>4.8707792818108216E-3</v>
      </c>
      <c r="D18" s="1">
        <f t="shared" si="0"/>
        <v>0.9561687522110206</v>
      </c>
      <c r="E18" s="20"/>
      <c r="F18" s="2">
        <f>F19*EXP(-(C18+E$2))</f>
        <v>950.4544846210282</v>
      </c>
      <c r="G18" s="2">
        <f>G17*EXP(C17-0.5*data!$B$7^2)</f>
        <v>173.86296817621115</v>
      </c>
      <c r="H18" s="2">
        <f t="shared" si="1"/>
        <v>1124.3174527972394</v>
      </c>
      <c r="I18" s="2">
        <f t="shared" si="4"/>
        <v>1090.899348171889</v>
      </c>
      <c r="J18" s="2">
        <f t="shared" si="2"/>
        <v>1090.899348171889</v>
      </c>
      <c r="K18" s="1">
        <f>K17*(1-data!J17)*(1-data!K17)</f>
        <v>0.34632330606590261</v>
      </c>
      <c r="L18" s="10">
        <f>(data!J18+data!K18*(1-data!J18))*K18</f>
        <v>2.8019363095227533E-2</v>
      </c>
      <c r="M18" s="2">
        <f t="shared" si="5"/>
        <v>697.38271279105197</v>
      </c>
      <c r="N18" s="2">
        <f t="shared" si="6"/>
        <v>692.71670158473626</v>
      </c>
      <c r="O18" s="2">
        <f t="shared" si="7"/>
        <v>5582.7273852168746</v>
      </c>
      <c r="P18" s="11">
        <f t="shared" si="7"/>
        <v>5567.6651978445334</v>
      </c>
    </row>
    <row r="19" spans="1:16" x14ac:dyDescent="0.3">
      <c r="A19">
        <v>18</v>
      </c>
      <c r="B19" s="17">
        <v>2.7699999999999999E-3</v>
      </c>
      <c r="C19" s="1">
        <f t="shared" si="3"/>
        <v>4.9702087000477171E-3</v>
      </c>
      <c r="D19" s="1">
        <f t="shared" si="0"/>
        <v>0.95142818452428701</v>
      </c>
      <c r="E19" s="20"/>
      <c r="F19" s="2">
        <f>F20*EXP(-(C19+E$2))</f>
        <v>961.72374075338723</v>
      </c>
      <c r="G19" s="2">
        <f>G18*EXP(C18-0.5*data!$B$7^2)</f>
        <v>172.75738804657595</v>
      </c>
      <c r="H19" s="2">
        <f t="shared" si="1"/>
        <v>1134.4811287999632</v>
      </c>
      <c r="I19" s="2">
        <f t="shared" si="4"/>
        <v>1100.7516052160461</v>
      </c>
      <c r="J19" s="2">
        <f t="shared" si="2"/>
        <v>1100.7516052160461</v>
      </c>
      <c r="K19" s="1">
        <f>K18*(1-data!J18)*(1-data!K18)</f>
        <v>0.31830394297067505</v>
      </c>
      <c r="L19" s="10">
        <f>(data!J19+data!K19*(1-data!J19))*K19</f>
        <v>2.6708452393674649E-2</v>
      </c>
      <c r="M19" s="2">
        <f t="shared" si="5"/>
        <v>725.61109315938211</v>
      </c>
      <c r="N19" s="2">
        <f t="shared" si="6"/>
        <v>720.94508195306639</v>
      </c>
      <c r="O19" s="2">
        <f t="shared" si="7"/>
        <v>6090.8382318468166</v>
      </c>
      <c r="P19" s="11">
        <f t="shared" si="7"/>
        <v>6075.7760444744754</v>
      </c>
    </row>
    <row r="20" spans="1:16" x14ac:dyDescent="0.3">
      <c r="A20">
        <v>19</v>
      </c>
      <c r="B20" s="17">
        <v>2.9099999999999998E-3</v>
      </c>
      <c r="C20" s="1">
        <f t="shared" si="3"/>
        <v>5.4186376180049263E-3</v>
      </c>
      <c r="D20" s="1">
        <f t="shared" si="0"/>
        <v>0.9462866825211127</v>
      </c>
      <c r="E20" s="20"/>
      <c r="F20" s="2">
        <f>F21*EXP(-(C20+E$2))</f>
        <v>973.22337532735298</v>
      </c>
      <c r="G20" s="2">
        <f>G19*EXP(C19-0.5*data!$B$7^2)</f>
        <v>171.67590699585026</v>
      </c>
      <c r="H20" s="2">
        <f t="shared" si="1"/>
        <v>1144.8992823232034</v>
      </c>
      <c r="I20" s="2">
        <f t="shared" si="4"/>
        <v>1110.8648484592045</v>
      </c>
      <c r="J20" s="2">
        <f t="shared" si="2"/>
        <v>1110.8648484592045</v>
      </c>
      <c r="K20" s="1">
        <f>K19*(1-data!J19)*(1-data!K19)</f>
        <v>0.2915954905770004</v>
      </c>
      <c r="L20" s="10">
        <f>(data!J20+data!K20*(1-data!J20))*K20</f>
        <v>2.5455638693787565E-2</v>
      </c>
      <c r="M20" s="2">
        <f t="shared" si="5"/>
        <v>752.62936090582298</v>
      </c>
      <c r="N20" s="2">
        <f t="shared" si="6"/>
        <v>747.96334969950726</v>
      </c>
      <c r="O20" s="2">
        <f t="shared" si="7"/>
        <v>6604.185319029194</v>
      </c>
      <c r="P20" s="11">
        <f t="shared" si="7"/>
        <v>6589.1231316568528</v>
      </c>
    </row>
    <row r="21" spans="1:16" x14ac:dyDescent="0.3">
      <c r="A21">
        <v>20</v>
      </c>
      <c r="B21" s="17">
        <v>3.16E-3</v>
      </c>
      <c r="C21" s="1">
        <f t="shared" si="3"/>
        <v>7.8906450887456826E-3</v>
      </c>
      <c r="D21" s="1">
        <f t="shared" si="0"/>
        <v>0.93884925180943379</v>
      </c>
      <c r="E21" s="20"/>
      <c r="F21" s="2">
        <f>F22*EXP(-(C21+E$2))</f>
        <v>985.3022536364133</v>
      </c>
      <c r="G21" s="2">
        <f>G20*EXP(C20-0.5*data!$B$7^2)</f>
        <v>170.67771580578264</v>
      </c>
      <c r="H21" s="2">
        <f t="shared" si="1"/>
        <v>1155.9799694421959</v>
      </c>
      <c r="I21" s="2">
        <f t="shared" si="4"/>
        <v>1121.6329909724998</v>
      </c>
      <c r="J21" s="2">
        <f t="shared" si="2"/>
        <v>1121.6329909724998</v>
      </c>
      <c r="K21" s="1">
        <f>K20*(1-data!J20)*(1-data!K20)</f>
        <v>0.26613985188321282</v>
      </c>
      <c r="L21" s="10">
        <f>(data!J21+data!K21*(1-data!J21))*K21</f>
        <v>2.4169905826942908E-2</v>
      </c>
      <c r="M21" s="2">
        <f t="shared" si="5"/>
        <v>778.39432988272722</v>
      </c>
      <c r="N21" s="2">
        <f t="shared" si="6"/>
        <v>773.7283186764115</v>
      </c>
      <c r="O21" s="2">
        <f t="shared" si="7"/>
        <v>7119.4846985672793</v>
      </c>
      <c r="P21" s="11">
        <f t="shared" si="7"/>
        <v>7104.4225111949381</v>
      </c>
    </row>
    <row r="22" spans="1:16" x14ac:dyDescent="0.3">
      <c r="F22" s="2">
        <f>data!B4</f>
        <v>1000</v>
      </c>
      <c r="G22" s="2">
        <f>G21*EXP(C21-0.5*data!$B$7^2)</f>
        <v>170.10531077708279</v>
      </c>
      <c r="H22" s="2">
        <f t="shared" si="1"/>
        <v>1170.1053107770829</v>
      </c>
      <c r="I22" s="2">
        <f t="shared" si="4"/>
        <v>1135.4259116938169</v>
      </c>
      <c r="J22" s="2">
        <f t="shared" si="2"/>
        <v>1135.4259116938169</v>
      </c>
      <c r="K22" s="1">
        <f>K21*(1-data!J21)*(1-data!K21)</f>
        <v>0.24196994605626992</v>
      </c>
      <c r="L22" s="10"/>
      <c r="M22" s="6">
        <f>$D21*$K22*I22+M21</f>
        <v>1036.3327843442826</v>
      </c>
      <c r="N22" s="7">
        <f>$D21*$K22*J22+N21</f>
        <v>1031.6667731379669</v>
      </c>
      <c r="O22" s="2">
        <f>$D21*$K22*I22*$A21+O21</f>
        <v>12278.253787798387</v>
      </c>
      <c r="P22" s="11">
        <f>$D21*$K22*J22*$A21+P21</f>
        <v>12263.191600426046</v>
      </c>
    </row>
    <row r="23" spans="1:16" x14ac:dyDescent="0.3">
      <c r="O23" s="6">
        <f>O22/M22</f>
        <v>11.847790568130284</v>
      </c>
      <c r="P23" s="7">
        <f>P22/N22</f>
        <v>11.886775768813157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5841-AFEE-4E98-A208-FF7B7DA7BD19}">
  <dimension ref="A1:B2"/>
  <sheetViews>
    <sheetView workbookViewId="0">
      <selection activeCell="C2" sqref="C2"/>
    </sheetView>
  </sheetViews>
  <sheetFormatPr defaultRowHeight="14.4" x14ac:dyDescent="0.3"/>
  <sheetData>
    <row r="1" spans="1:2" x14ac:dyDescent="0.3">
      <c r="A1" s="24" t="s">
        <v>32</v>
      </c>
      <c r="B1" s="25" t="s">
        <v>33</v>
      </c>
    </row>
    <row r="2" spans="1:2" x14ac:dyDescent="0.3">
      <c r="A2" s="26">
        <f>MAX('interest rate up'!U2,'interest rate down'!U2)</f>
        <v>37.215302343515532</v>
      </c>
      <c r="B2" s="27">
        <f>MAX('interest rate up'!V2,'interest rate down'!V2)</f>
        <v>0.89344978408780662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8EEC-D0B3-4816-BCC8-880DE5A3AFCE}">
  <dimension ref="A1:R23"/>
  <sheetViews>
    <sheetView workbookViewId="0">
      <selection activeCell="O1" sqref="O1:R2"/>
    </sheetView>
  </sheetViews>
  <sheetFormatPr defaultRowHeight="14.4" x14ac:dyDescent="0.3"/>
  <cols>
    <col min="1" max="1" width="11.109375" bestFit="1" customWidth="1"/>
  </cols>
  <sheetData>
    <row r="1" spans="1:18" x14ac:dyDescent="0.3">
      <c r="A1" s="12" t="s">
        <v>12</v>
      </c>
      <c r="B1" s="12" t="s">
        <v>11</v>
      </c>
      <c r="C1" s="12" t="s">
        <v>13</v>
      </c>
      <c r="D1" s="12" t="s">
        <v>16</v>
      </c>
      <c r="E1" s="12" t="s">
        <v>17</v>
      </c>
      <c r="F1" s="12" t="s">
        <v>18</v>
      </c>
      <c r="G1" s="12" t="s">
        <v>19</v>
      </c>
      <c r="H1" s="13" t="s">
        <v>20</v>
      </c>
      <c r="I1" s="12" t="s">
        <v>26</v>
      </c>
      <c r="J1" s="12" t="s">
        <v>27</v>
      </c>
      <c r="K1" s="12" t="s">
        <v>22</v>
      </c>
      <c r="L1" s="13" t="s">
        <v>23</v>
      </c>
      <c r="M1" s="14" t="s">
        <v>24</v>
      </c>
      <c r="N1" s="14" t="s">
        <v>25</v>
      </c>
      <c r="O1" s="14" t="s">
        <v>29</v>
      </c>
      <c r="P1" s="14" t="s">
        <v>28</v>
      </c>
      <c r="Q1" s="14" t="s">
        <v>30</v>
      </c>
      <c r="R1" s="29" t="s">
        <v>31</v>
      </c>
    </row>
    <row r="2" spans="1:18" x14ac:dyDescent="0.3">
      <c r="A2" s="1">
        <f>-LN(data!B3/data!B4)/data!B5-LN(1+data!E21)</f>
        <v>6.9161833084558722E-3</v>
      </c>
      <c r="B2" s="2">
        <f>B3*EXP(-(data!F2+plain_case!$A$2))</f>
        <v>800.00000000000068</v>
      </c>
      <c r="C2" s="2">
        <f>data!B6*(1-A4)</f>
        <v>122</v>
      </c>
      <c r="D2" s="2">
        <f>B2+C2</f>
        <v>922.00000000000068</v>
      </c>
      <c r="G2">
        <v>1</v>
      </c>
      <c r="H2" s="10">
        <f>(data!J2+data!K2*(1-data!J2))*G2</f>
        <v>5.6210577500000004E-2</v>
      </c>
      <c r="I2" s="2">
        <f>data!$G2*$H2*E3</f>
        <v>56.529971840901105</v>
      </c>
      <c r="J2" s="2">
        <f>data!$G2*$H2*F3</f>
        <v>50.497904868252363</v>
      </c>
      <c r="K2" s="2">
        <f>data!$G2*$H2*E3*data!$D2</f>
        <v>56.529971840901105</v>
      </c>
      <c r="L2" s="2">
        <f>data!$G2*$H2*F3*data!$D2</f>
        <v>50.497904868252363</v>
      </c>
      <c r="M2" s="6">
        <f>$D2-I22</f>
        <v>-72.579980990946979</v>
      </c>
      <c r="N2" s="7">
        <f>$D2-J22</f>
        <v>-24.701705245133553</v>
      </c>
      <c r="O2" s="2">
        <f>plain_case!M2-M2</f>
        <v>48.080989683845473</v>
      </c>
      <c r="P2" s="2">
        <f>plain_case!N2-N2</f>
        <v>11.494075704230227</v>
      </c>
      <c r="Q2" s="6">
        <f>MAX(O2,0)</f>
        <v>48.080989683845473</v>
      </c>
      <c r="R2" s="7">
        <f>MAX(P2,0)</f>
        <v>11.494075704230227</v>
      </c>
    </row>
    <row r="3" spans="1:18" x14ac:dyDescent="0.3">
      <c r="A3" s="22" t="s">
        <v>34</v>
      </c>
      <c r="B3" s="2">
        <f>B4*EXP(-(data!F3+plain_case!$A$2))</f>
        <v>801.00075476775532</v>
      </c>
      <c r="C3" s="2">
        <f>C2*EXP(data!F2-0.5*data!$B$7^2)</f>
        <v>119.9536026109199</v>
      </c>
      <c r="D3" s="2">
        <f t="shared" ref="D3:D22" si="0">B3+C3</f>
        <v>920.95435737867524</v>
      </c>
      <c r="E3" s="2">
        <f>MAX(F3,1000)</f>
        <v>1000</v>
      </c>
      <c r="F3" s="2">
        <f t="shared" ref="F3:F22" si="1">D3-D2*0.03</f>
        <v>893.29435737867527</v>
      </c>
      <c r="G3" s="1">
        <f>G2*(1-data!J2)*(1-data!K2)</f>
        <v>0.94378942249999997</v>
      </c>
      <c r="H3" s="10">
        <f>(data!J3+data!K3*(1-data!J3))*G3</f>
        <v>5.3695478318161925E-2</v>
      </c>
      <c r="I3" s="2">
        <f>data!$G3*$H3*E4+I2</f>
        <v>110.81555054958609</v>
      </c>
      <c r="J3" s="2">
        <f>data!$G3*$H3*F4+J2</f>
        <v>98.957868362087638</v>
      </c>
      <c r="K3" s="2">
        <f>data!$G3*$H3*E4*data!$D3+K2</f>
        <v>165.10112925827107</v>
      </c>
      <c r="L3" s="2">
        <f>data!$G3*$H3*F4*data!$D3+L2</f>
        <v>147.41783185592291</v>
      </c>
    </row>
    <row r="4" spans="1:18" x14ac:dyDescent="0.3">
      <c r="A4" s="23">
        <v>0.39</v>
      </c>
      <c r="B4" s="2">
        <f>B5*EXP(-(data!F4+plain_case!$A$2))</f>
        <v>802.32541779862527</v>
      </c>
      <c r="C4" s="2">
        <f>C3*EXP(data!F3-0.5*data!$B$7^2)</f>
        <v>117.98898042441431</v>
      </c>
      <c r="D4" s="2">
        <f t="shared" si="0"/>
        <v>920.31439822303957</v>
      </c>
      <c r="E4" s="2">
        <f t="shared" ref="E4:E22" si="2">MAX(F4,1000)</f>
        <v>1000</v>
      </c>
      <c r="F4" s="2">
        <f t="shared" si="1"/>
        <v>892.68576750167927</v>
      </c>
      <c r="G4" s="1">
        <f>G3*(1-data!J3)*(1-data!K3)</f>
        <v>0.89009394418183796</v>
      </c>
      <c r="H4" s="10">
        <f>(data!J4+data!K4*(1-data!J4))*G4</f>
        <v>5.1244347919593598E-2</v>
      </c>
      <c r="I4" s="2">
        <f>data!$G4*$H4*E5+I3</f>
        <v>162.82847334122428</v>
      </c>
      <c r="J4" s="2">
        <f>data!$G4*$H4*F5+J3</f>
        <v>145.42111457144046</v>
      </c>
      <c r="K4" s="2">
        <f>data!$G4*$H4*E5*data!$D4+K3</f>
        <v>321.13989763318568</v>
      </c>
      <c r="L4" s="2">
        <f>data!$G4*$H4*F5*data!$D4+L3</f>
        <v>286.80757048398135</v>
      </c>
    </row>
    <row r="5" spans="1:18" x14ac:dyDescent="0.3">
      <c r="B5" s="2">
        <f>B6*EXP(-(data!F5+plain_case!$A$2))</f>
        <v>804.70311013269441</v>
      </c>
      <c r="C5" s="2">
        <f>C4*EXP(data!F4-0.5*data!$B$7^2)</f>
        <v>116.20828824035642</v>
      </c>
      <c r="D5" s="2">
        <f t="shared" si="0"/>
        <v>920.91139837305082</v>
      </c>
      <c r="E5" s="2">
        <f t="shared" si="2"/>
        <v>1000</v>
      </c>
      <c r="F5" s="2">
        <f t="shared" si="1"/>
        <v>893.30196642635963</v>
      </c>
      <c r="G5" s="1">
        <f>G4*(1-data!J4)*(1-data!K4)</f>
        <v>0.83884959626224431</v>
      </c>
      <c r="H5" s="10">
        <f>(data!J5+data!K5*(1-data!J5))*G5</f>
        <v>4.8825510021164337E-2</v>
      </c>
      <c r="I5" s="2">
        <f>data!$G5*$H5*E6+I4</f>
        <v>212.51885586636251</v>
      </c>
      <c r="J5" s="2">
        <f>data!$G5*$H5*F6+J4</f>
        <v>189.89899304341557</v>
      </c>
      <c r="K5" s="2">
        <f>data!$G5*$H5*E6*data!$D5+K4</f>
        <v>519.90142773373861</v>
      </c>
      <c r="L5" s="2">
        <f>data!$G5*$H5*F6*data!$D5+L4</f>
        <v>464.71908437188176</v>
      </c>
    </row>
    <row r="6" spans="1:18" x14ac:dyDescent="0.3">
      <c r="B6" s="2">
        <f>B7*EXP(-(data!F6+plain_case!$A$2))</f>
        <v>808.12599413125622</v>
      </c>
      <c r="C6" s="2">
        <f>C5*EXP(data!F5-0.5*data!$B$7^2)</f>
        <v>114.60169142211782</v>
      </c>
      <c r="D6" s="2">
        <f t="shared" si="0"/>
        <v>922.72768555337404</v>
      </c>
      <c r="E6" s="2">
        <f t="shared" si="2"/>
        <v>1000</v>
      </c>
      <c r="F6" s="2">
        <f t="shared" si="1"/>
        <v>895.10034360218253</v>
      </c>
      <c r="G6" s="1">
        <f>G5*(1-data!J5)*(1-data!K5)</f>
        <v>0.79002408624107989</v>
      </c>
      <c r="H6" s="10">
        <f>(data!J6+data!K6*(1-data!J6))*G6</f>
        <v>4.6605121041147987E-2</v>
      </c>
      <c r="I6" s="2">
        <f>data!$G6*$H6*E7+I5</f>
        <v>259.96248200492255</v>
      </c>
      <c r="J6" s="2">
        <f>data!$G6*$H6*F7+J5</f>
        <v>232.55645976953306</v>
      </c>
      <c r="K6" s="2">
        <f>data!$G6*$H6*E7*data!$D6+K5</f>
        <v>757.11955842653867</v>
      </c>
      <c r="L6" s="2">
        <f>data!$G6*$H6*F7*data!$D6+L5</f>
        <v>678.00641800246922</v>
      </c>
    </row>
    <row r="7" spans="1:18" x14ac:dyDescent="0.3">
      <c r="B7" s="2">
        <f>B8*EXP(-(data!F7+plain_case!$A$2))</f>
        <v>813.51216854853408</v>
      </c>
      <c r="C7" s="2">
        <f>C6*EXP(data!F6-0.5*data!$B$7^2)</f>
        <v>113.288683855385</v>
      </c>
      <c r="D7" s="2">
        <f t="shared" si="0"/>
        <v>926.80085240391907</v>
      </c>
      <c r="E7" s="2">
        <f t="shared" si="2"/>
        <v>1000</v>
      </c>
      <c r="F7" s="2">
        <f t="shared" si="1"/>
        <v>899.11902183731786</v>
      </c>
      <c r="G7" s="1">
        <f>G6*(1-data!J6)*(1-data!K6)</f>
        <v>0.74341896519993189</v>
      </c>
      <c r="H7" s="10">
        <f>(data!J7+data!K7*(1-data!J7))*G7</f>
        <v>4.4590104865391118E-2</v>
      </c>
      <c r="I7" s="2">
        <f>data!$G7*$H7*E8+I6</f>
        <v>305.29818489528418</v>
      </c>
      <c r="J7" s="2">
        <f>data!$G7*$H7*F8+J6</f>
        <v>273.56437182990908</v>
      </c>
      <c r="K7" s="2">
        <f>data!$G7*$H7*E8*data!$D7+K6</f>
        <v>1029.1337757687083</v>
      </c>
      <c r="L7" s="2">
        <f>data!$G7*$H7*F8*data!$D7+L6</f>
        <v>924.05389036472548</v>
      </c>
    </row>
    <row r="8" spans="1:18" x14ac:dyDescent="0.3">
      <c r="B8" s="2">
        <f>B9*EXP(-(data!F8+plain_case!$A$2))</f>
        <v>820.18172583944408</v>
      </c>
      <c r="C8" s="2">
        <f>C7*EXP(data!F7-0.5*data!$B$7^2)</f>
        <v>112.16131525313946</v>
      </c>
      <c r="D8" s="2">
        <f t="shared" si="0"/>
        <v>932.34304109258358</v>
      </c>
      <c r="E8" s="2">
        <f t="shared" si="2"/>
        <v>1000</v>
      </c>
      <c r="F8" s="2">
        <f t="shared" si="1"/>
        <v>904.53901552046602</v>
      </c>
      <c r="G8" s="1">
        <f>G7*(1-data!J7)*(1-data!K7)</f>
        <v>0.69882886033454072</v>
      </c>
      <c r="H8" s="10">
        <f>(data!J8+data!K8*(1-data!J8))*G8</f>
        <v>4.2627280924763714E-2</v>
      </c>
      <c r="I8" s="2">
        <f>data!$G8*$H8*E9+I7</f>
        <v>348.55131525567646</v>
      </c>
      <c r="J8" s="2">
        <f>data!$G8*$H8*F9+J7</f>
        <v>312.95469002622389</v>
      </c>
      <c r="K8" s="2">
        <f>data!$G8*$H8*E9*data!$D8+K7</f>
        <v>1331.9056882914545</v>
      </c>
      <c r="L8" s="2">
        <f>data!$G8*$H8*F9*data!$D8+L7</f>
        <v>1199.7861177389291</v>
      </c>
    </row>
    <row r="9" spans="1:18" x14ac:dyDescent="0.3">
      <c r="B9" s="2">
        <f>B10*EXP(-(data!F9+plain_case!$A$2))</f>
        <v>827.53371315724314</v>
      </c>
      <c r="C9" s="2">
        <f>C8*EXP(data!F8-0.5*data!$B$7^2)</f>
        <v>111.12946592221977</v>
      </c>
      <c r="D9" s="2">
        <f t="shared" si="0"/>
        <v>938.66317907946291</v>
      </c>
      <c r="E9" s="2">
        <f t="shared" si="2"/>
        <v>1000</v>
      </c>
      <c r="F9" s="2">
        <f t="shared" si="1"/>
        <v>910.69288784668538</v>
      </c>
      <c r="G9" s="1">
        <f>G8*(1-data!J8)*(1-data!K8)</f>
        <v>0.65620157940977697</v>
      </c>
      <c r="H9" s="10">
        <f>(data!J9+data!K9*(1-data!J9))*G9</f>
        <v>4.0852328039356019E-2</v>
      </c>
      <c r="I9" s="2">
        <f>data!$G9*$H9*E10+I8</f>
        <v>389.7847395277978</v>
      </c>
      <c r="J9" s="2">
        <f>data!$G9*$H9*F10+J8</f>
        <v>350.88967281599213</v>
      </c>
      <c r="K9" s="2">
        <f>data!$G9*$H9*E10*data!$D9+K8</f>
        <v>1661.7730824684249</v>
      </c>
      <c r="L9" s="2">
        <f>data!$G9*$H9*F10*data!$D9+L8</f>
        <v>1503.2659800570748</v>
      </c>
    </row>
    <row r="10" spans="1:18" x14ac:dyDescent="0.3">
      <c r="B10" s="2">
        <f>B11*EXP(-(data!F10+plain_case!$A$2))</f>
        <v>837.69645352899374</v>
      </c>
      <c r="C10" s="2">
        <f>C9*EXP(data!F9-0.5*data!$B$7^2)</f>
        <v>110.46907948859463</v>
      </c>
      <c r="D10" s="2">
        <f t="shared" si="0"/>
        <v>948.16553301758836</v>
      </c>
      <c r="E10" s="2">
        <f t="shared" si="2"/>
        <v>1000</v>
      </c>
      <c r="F10" s="2">
        <f t="shared" si="1"/>
        <v>920.0056376452045</v>
      </c>
      <c r="G10" s="1">
        <f>G9*(1-data!J9)*(1-data!K9)</f>
        <v>0.61534925137042085</v>
      </c>
      <c r="H10" s="10">
        <f>(data!J10+data!K10*(1-data!J10))*G10</f>
        <v>3.9045520676118668E-2</v>
      </c>
      <c r="I10" s="2">
        <f>data!$G10*$H10*E11+I9</f>
        <v>429.02053480583396</v>
      </c>
      <c r="J10" s="2">
        <f>data!$G10*$H10*F11+J9</f>
        <v>387.32100499016553</v>
      </c>
      <c r="K10" s="2">
        <f>data!$G10*$H10*E11*data!$D10+K9</f>
        <v>2014.8952399707505</v>
      </c>
      <c r="L10" s="2">
        <f>data!$G10*$H10*F11*data!$D10+L9</f>
        <v>1831.1479696246356</v>
      </c>
    </row>
    <row r="11" spans="1:18" x14ac:dyDescent="0.3">
      <c r="B11" s="2">
        <f>B12*EXP(-(data!F11+plain_case!$A$2))</f>
        <v>847.2502154423895</v>
      </c>
      <c r="C11" s="2">
        <f>C10*EXP(data!F10-0.5*data!$B$7^2)</f>
        <v>109.71759342695523</v>
      </c>
      <c r="D11" s="2">
        <f t="shared" si="0"/>
        <v>956.96780886934471</v>
      </c>
      <c r="E11" s="2">
        <f t="shared" si="2"/>
        <v>1000</v>
      </c>
      <c r="F11" s="2">
        <f t="shared" si="1"/>
        <v>928.52284287881707</v>
      </c>
      <c r="G11" s="1">
        <f>G10*(1-data!J10)*(1-data!K10)</f>
        <v>0.57630373069430219</v>
      </c>
      <c r="H11" s="10">
        <f>(data!J11+data!K11*(1-data!J11))*G11</f>
        <v>3.746068215836254E-2</v>
      </c>
      <c r="I11" s="2">
        <f>data!$G11*$H11*E12+I10</f>
        <v>466.40264031627743</v>
      </c>
      <c r="J11" s="2">
        <f>data!$G11*$H11*F12+J10</f>
        <v>422.44630412664384</v>
      </c>
      <c r="K11" s="2">
        <f>data!$G11*$H11*E12*data!$D11+K10</f>
        <v>2388.7162950751849</v>
      </c>
      <c r="L11" s="2">
        <f>data!$G11*$H11*F12*data!$D11+L10</f>
        <v>2182.4009609894188</v>
      </c>
    </row>
    <row r="12" spans="1:18" x14ac:dyDescent="0.3">
      <c r="B12" s="2">
        <f>B13*EXP(-(data!F12+plain_case!$A$2))</f>
        <v>859.08970000200384</v>
      </c>
      <c r="C12" s="2">
        <f>C11*EXP(data!F11-0.5*data!$B$7^2)</f>
        <v>109.2480324567277</v>
      </c>
      <c r="D12" s="2">
        <f t="shared" si="0"/>
        <v>968.33773245873158</v>
      </c>
      <c r="E12" s="2">
        <f t="shared" si="2"/>
        <v>1000</v>
      </c>
      <c r="F12" s="2">
        <f t="shared" si="1"/>
        <v>939.6286981926512</v>
      </c>
      <c r="G12" s="1">
        <f>G11*(1-data!J11)*(1-data!K11)</f>
        <v>0.53884304853593956</v>
      </c>
      <c r="H12" s="10">
        <f>(data!J12+data!K12*(1-data!J12))*G12</f>
        <v>3.5472520149649342E-2</v>
      </c>
      <c r="I12" s="2">
        <f>data!$G12*$H12*E13+I11</f>
        <v>501.54517769775453</v>
      </c>
      <c r="J12" s="2">
        <f>data!$G12*$H12*F13+J11</f>
        <v>455.87052734437839</v>
      </c>
      <c r="K12" s="2">
        <f>data!$G12*$H12*E13*data!$D12+K11</f>
        <v>2775.284206271433</v>
      </c>
      <c r="L12" s="2">
        <f>data!$G12*$H12*F13*data!$D12+L11</f>
        <v>2550.0674163844988</v>
      </c>
    </row>
    <row r="13" spans="1:18" x14ac:dyDescent="0.3">
      <c r="B13" s="2">
        <f>B14*EXP(-(data!F13+plain_case!$A$2))</f>
        <v>871.34306360641722</v>
      </c>
      <c r="C13" s="2">
        <f>C12*EXP(data!F12-0.5*data!$B$7^2)</f>
        <v>108.8115049909721</v>
      </c>
      <c r="D13" s="2">
        <f t="shared" si="0"/>
        <v>980.15456859738936</v>
      </c>
      <c r="E13" s="2">
        <f t="shared" si="2"/>
        <v>1000</v>
      </c>
      <c r="F13" s="2">
        <f t="shared" si="1"/>
        <v>951.10443662362741</v>
      </c>
      <c r="G13" s="1">
        <f>G12*(1-data!J12)*(1-data!K12)</f>
        <v>0.50337052838629026</v>
      </c>
      <c r="H13" s="10">
        <f>(data!J13+data!K13*(1-data!J13))*G13</f>
        <v>3.387190327753388E-2</v>
      </c>
      <c r="I13" s="2">
        <f>data!$G13*$H13*E14+I12</f>
        <v>534.81727630952594</v>
      </c>
      <c r="J13" s="2">
        <f>data!$G13*$H13*F14+J12</f>
        <v>487.94511316616882</v>
      </c>
      <c r="K13" s="2">
        <f>data!$G13*$H13*E14*data!$D13+K12</f>
        <v>3174.54938961269</v>
      </c>
      <c r="L13" s="2">
        <f>data!$G13*$H13*F14*data!$D13+L12</f>
        <v>2934.9624462459842</v>
      </c>
    </row>
    <row r="14" spans="1:18" x14ac:dyDescent="0.3">
      <c r="B14" s="2">
        <f>B15*EXP(-(data!F14+plain_case!$A$2))</f>
        <v>884.8982087103542</v>
      </c>
      <c r="C14" s="2">
        <f>C13*EXP(data!F13-0.5*data!$B$7^2)</f>
        <v>108.5149267607917</v>
      </c>
      <c r="D14" s="2">
        <f t="shared" si="0"/>
        <v>993.41313547114589</v>
      </c>
      <c r="E14" s="2">
        <f t="shared" si="2"/>
        <v>1000</v>
      </c>
      <c r="F14" s="2">
        <f t="shared" si="1"/>
        <v>964.00849841322417</v>
      </c>
      <c r="G14" s="1">
        <f>G13*(1-data!J13)*(1-data!K13)</f>
        <v>0.46949862510875634</v>
      </c>
      <c r="H14" s="10">
        <f>(data!J14+data!K14*(1-data!J14))*G14</f>
        <v>3.2448874452923326E-2</v>
      </c>
      <c r="I14" s="2">
        <f>data!$G14*$H14*E15+I13</f>
        <v>566.42187084206944</v>
      </c>
      <c r="J14" s="2">
        <f>data!$G14*$H14*F15+J13</f>
        <v>518.82459453368233</v>
      </c>
      <c r="K14" s="2">
        <f>data!$G14*$H14*E15*data!$D14+K13</f>
        <v>3585.4091185357556</v>
      </c>
      <c r="L14" s="2">
        <f>data!$G14*$H14*F15*data!$D14+L13</f>
        <v>3336.3957040236596</v>
      </c>
    </row>
    <row r="15" spans="1:18" x14ac:dyDescent="0.3">
      <c r="B15" s="2">
        <f>B16*EXP(-(data!F15+plain_case!$A$2))</f>
        <v>898.64256264601602</v>
      </c>
      <c r="C15" s="2">
        <f>C14*EXP(data!F14-0.5*data!$B$7^2)</f>
        <v>108.21654814696733</v>
      </c>
      <c r="D15" s="2">
        <f t="shared" si="0"/>
        <v>1006.8591107929833</v>
      </c>
      <c r="E15" s="2">
        <f t="shared" si="2"/>
        <v>1000</v>
      </c>
      <c r="F15" s="2">
        <f t="shared" si="1"/>
        <v>977.05671672884887</v>
      </c>
      <c r="G15" s="1">
        <f>G14*(1-data!J14)*(1-data!K14)</f>
        <v>0.43704975065583301</v>
      </c>
      <c r="H15" s="10">
        <f>(data!J15+data!K15*(1-data!J15))*G15</f>
        <v>3.1289227944148963E-2</v>
      </c>
      <c r="I15" s="2">
        <f>data!$G15*$H15*E16+I14</f>
        <v>596.62780080313996</v>
      </c>
      <c r="J15" s="2">
        <f>data!$G15*$H15*F16+J14</f>
        <v>548.74952505732654</v>
      </c>
      <c r="K15" s="2">
        <f>data!$G15*$H15*E16*data!$D15+K14</f>
        <v>4008.2921379907434</v>
      </c>
      <c r="L15" s="2">
        <f>data!$G15*$H15*F16*data!$D15+L14</f>
        <v>3755.3447313546785</v>
      </c>
    </row>
    <row r="16" spans="1:18" x14ac:dyDescent="0.3">
      <c r="B16" s="2">
        <f>B17*EXP(-(data!F16+plain_case!$A$2))</f>
        <v>912.94342782753324</v>
      </c>
      <c r="C16" s="2">
        <f>C15*EXP(data!F15-0.5*data!$B$7^2)</f>
        <v>107.95955502470001</v>
      </c>
      <c r="D16" s="2">
        <f t="shared" si="0"/>
        <v>1020.9029828522332</v>
      </c>
      <c r="E16" s="2">
        <f t="shared" si="2"/>
        <v>1000</v>
      </c>
      <c r="F16" s="2">
        <f t="shared" si="1"/>
        <v>990.69720952844375</v>
      </c>
      <c r="G16" s="1">
        <f>G15*(1-data!J15)*(1-data!K15)</f>
        <v>0.40576052271168406</v>
      </c>
      <c r="H16" s="10">
        <f>(data!J16+data!K16*(1-data!J16))*G16</f>
        <v>3.0110640148061345E-2</v>
      </c>
      <c r="I16" s="2">
        <f>data!$G16*$H16*E17+I15</f>
        <v>625.570813914616</v>
      </c>
      <c r="J16" s="2">
        <f>data!$G16*$H16*F17+J15</f>
        <v>577.69253816880257</v>
      </c>
      <c r="K16" s="2">
        <f>data!$G16*$H16*E17*data!$D16+K15</f>
        <v>4442.4373346628836</v>
      </c>
      <c r="L16" s="2">
        <f>data!$G16*$H16*F17*data!$D16+L15</f>
        <v>4189.4899280268191</v>
      </c>
    </row>
    <row r="17" spans="2:12" x14ac:dyDescent="0.3">
      <c r="B17" s="2">
        <f>B18*EXP(-(data!F17+plain_case!$A$2))</f>
        <v>928.09821275853972</v>
      </c>
      <c r="C17" s="2">
        <f>C16*EXP(data!F16-0.5*data!$B$7^2)</f>
        <v>107.77590603649902</v>
      </c>
      <c r="D17" s="2">
        <f t="shared" si="0"/>
        <v>1035.8741187950388</v>
      </c>
      <c r="E17" s="2">
        <f t="shared" si="2"/>
        <v>1005.2470293094718</v>
      </c>
      <c r="F17" s="2">
        <f t="shared" si="1"/>
        <v>1005.2470293094718</v>
      </c>
      <c r="G17" s="1">
        <f>G16*(1-data!J16)*(1-data!K16)</f>
        <v>0.37564988256362275</v>
      </c>
      <c r="H17" s="10">
        <f>(data!J17+data!K17*(1-data!J17))*G17</f>
        <v>2.9326576497720153E-2</v>
      </c>
      <c r="I17" s="2">
        <f>data!$G17*$H17*E18+I16</f>
        <v>653.90099436665116</v>
      </c>
      <c r="J17" s="2">
        <f>data!$G17*$H17*F18+J16</f>
        <v>606.02271862083774</v>
      </c>
      <c r="K17" s="2">
        <f>data!$G17*$H17*E18*data!$D17+K16</f>
        <v>4895.7202218954462</v>
      </c>
      <c r="L17" s="2">
        <f>data!$G17*$H17*F18*data!$D17+L16</f>
        <v>4642.7728152593818</v>
      </c>
    </row>
    <row r="18" spans="2:12" x14ac:dyDescent="0.3">
      <c r="B18" s="2">
        <f>B19*EXP(-(data!F18+plain_case!$A$2))</f>
        <v>941.6793097841371</v>
      </c>
      <c r="C18" s="2">
        <f>C17*EXP(data!F17-0.5*data!$B$7^2)</f>
        <v>107.3844263246082</v>
      </c>
      <c r="D18" s="2">
        <f t="shared" si="0"/>
        <v>1049.0637361087454</v>
      </c>
      <c r="E18" s="2">
        <f t="shared" si="2"/>
        <v>1017.9875125448942</v>
      </c>
      <c r="F18" s="2">
        <f t="shared" si="1"/>
        <v>1017.9875125448942</v>
      </c>
      <c r="G18" s="1">
        <f>G17*(1-data!J17)*(1-data!K17)</f>
        <v>0.34632330606590261</v>
      </c>
      <c r="H18" s="10">
        <f>(data!J18+data!K18*(1-data!J18))*G18</f>
        <v>2.8019363095227533E-2</v>
      </c>
      <c r="I18" s="2">
        <f>data!$G18*$H18*E19+I17</f>
        <v>681.10509942939984</v>
      </c>
      <c r="J18" s="2">
        <f>data!$G18*$H18*F19+J17</f>
        <v>633.22682368358642</v>
      </c>
      <c r="K18" s="2">
        <f>data!$G18*$H18*E19*data!$D18+K17</f>
        <v>5358.1900079621746</v>
      </c>
      <c r="L18" s="2">
        <f>data!$G18*$H18*F19*data!$D18+L17</f>
        <v>5105.2426013261102</v>
      </c>
    </row>
    <row r="19" spans="2:12" x14ac:dyDescent="0.3">
      <c r="B19" s="2">
        <f>B20*EXP(-(data!F19+plain_case!$A$2))</f>
        <v>954.39223276911173</v>
      </c>
      <c r="C19" s="2">
        <f>C18*EXP(data!F18-0.5*data!$B$7^2)</f>
        <v>106.87489376374751</v>
      </c>
      <c r="D19" s="2">
        <f t="shared" si="0"/>
        <v>1061.2671265328593</v>
      </c>
      <c r="E19" s="2">
        <f t="shared" si="2"/>
        <v>1029.7952144495969</v>
      </c>
      <c r="F19" s="2">
        <f t="shared" si="1"/>
        <v>1029.7952144495969</v>
      </c>
      <c r="G19" s="1">
        <f>G18*(1-data!J18)*(1-data!K18)</f>
        <v>0.31830394297067505</v>
      </c>
      <c r="H19" s="10">
        <f>(data!J19+data!K19*(1-data!J19))*G19</f>
        <v>2.6708452393674649E-2</v>
      </c>
      <c r="I19" s="2">
        <f>data!$G19*$H19*E20+I18</f>
        <v>707.16924854272713</v>
      </c>
      <c r="J19" s="2">
        <f>data!$G19*$H19*F20+J18</f>
        <v>659.29097279691371</v>
      </c>
      <c r="K19" s="2">
        <f>data!$G19*$H19*E20*data!$D19+K18</f>
        <v>5827.3446920020651</v>
      </c>
      <c r="L19" s="2">
        <f>data!$G19*$H19*F20*data!$D19+L18</f>
        <v>5574.3972853660007</v>
      </c>
    </row>
    <row r="20" spans="2:12" x14ac:dyDescent="0.3">
      <c r="B20" s="2">
        <f>B21*EXP(-(data!F20+plain_case!$A$2))</f>
        <v>967.46903157777763</v>
      </c>
      <c r="C20" s="2">
        <f>C19*EXP(data!F19-0.5*data!$B$7^2)</f>
        <v>106.38891968646054</v>
      </c>
      <c r="D20" s="2">
        <f t="shared" si="0"/>
        <v>1073.8579512642382</v>
      </c>
      <c r="E20" s="2">
        <f t="shared" si="2"/>
        <v>1042.0199374682525</v>
      </c>
      <c r="F20" s="2">
        <f t="shared" si="1"/>
        <v>1042.0199374682525</v>
      </c>
      <c r="G20" s="1">
        <f>G19*(1-data!J19)*(1-data!K19)</f>
        <v>0.2915954905770004</v>
      </c>
      <c r="H20" s="10">
        <f>(data!J20+data!K20*(1-data!J20))*G20</f>
        <v>2.5455638693787565E-2</v>
      </c>
      <c r="I20" s="2">
        <f>data!$G20*$H20*E21+I19</f>
        <v>732.13990336166285</v>
      </c>
      <c r="J20" s="2">
        <f>data!$G20*$H20*F21+J19</f>
        <v>684.26162761584942</v>
      </c>
      <c r="K20" s="2">
        <f>data!$G20*$H20*E21*data!$D20+K19</f>
        <v>6301.7871335618447</v>
      </c>
      <c r="L20" s="2">
        <f>data!$G20*$H20*F21*data!$D20+L19</f>
        <v>6048.8397269257803</v>
      </c>
    </row>
    <row r="21" spans="2:12" x14ac:dyDescent="0.3">
      <c r="B21" s="2">
        <f>B22*EXP(-(data!F21+plain_case!$A$2))</f>
        <v>982.37694602175327</v>
      </c>
      <c r="C21" s="2">
        <f>C20*EXP(data!F20-0.5*data!$B$7^2)</f>
        <v>106.08354290704065</v>
      </c>
      <c r="D21" s="2">
        <f t="shared" si="0"/>
        <v>1088.4604889287939</v>
      </c>
      <c r="E21" s="2">
        <f t="shared" si="2"/>
        <v>1056.2447503908668</v>
      </c>
      <c r="F21" s="2">
        <f t="shared" si="1"/>
        <v>1056.2447503908668</v>
      </c>
      <c r="G21" s="1">
        <f>G20*(1-data!J20)*(1-data!K20)</f>
        <v>0.26613985188321282</v>
      </c>
      <c r="H21" s="10">
        <f>(data!J21+data!K21*(1-data!J21))*G21</f>
        <v>2.4169905826942908E-2</v>
      </c>
      <c r="I21" s="2">
        <f>data!$G21*$H21*E22+I20</f>
        <v>755.9738084180874</v>
      </c>
      <c r="J21" s="2">
        <f>data!$G21*$H21*F22+J20</f>
        <v>708.09553267227398</v>
      </c>
      <c r="K21" s="2">
        <f>data!$G21*$H21*E22*data!$D21+K20</f>
        <v>6778.4652346903367</v>
      </c>
      <c r="L21" s="2">
        <f>data!$G21*$H21*F22*data!$D21+L20</f>
        <v>6525.5178280542723</v>
      </c>
    </row>
    <row r="22" spans="2:12" x14ac:dyDescent="0.3">
      <c r="B22" s="2">
        <f>data!B4</f>
        <v>1000</v>
      </c>
      <c r="C22" s="2">
        <f>C21*EXP(data!F21-0.5*data!$B$7^2)</f>
        <v>106.04260315038735</v>
      </c>
      <c r="D22" s="2">
        <f t="shared" si="0"/>
        <v>1106.0426031503873</v>
      </c>
      <c r="E22" s="2">
        <f t="shared" si="2"/>
        <v>1073.3887884825235</v>
      </c>
      <c r="F22" s="2">
        <f t="shared" si="1"/>
        <v>1073.3887884825235</v>
      </c>
      <c r="G22" s="1">
        <f>G21*(1-data!J21)*(1-data!K21)</f>
        <v>0.24196994605626992</v>
      </c>
      <c r="H22" s="10"/>
      <c r="I22" s="8">
        <f>data!$G21*$G22*E22+I21</f>
        <v>994.57998099094766</v>
      </c>
      <c r="J22" s="7">
        <f>data!$G21*$G22*F22+J21</f>
        <v>946.70170524513424</v>
      </c>
      <c r="K22" s="2">
        <f>data!$G21*$G22*E22*data!$D21+K21</f>
        <v>11550.588686147543</v>
      </c>
      <c r="L22" s="2">
        <f>data!$G21*$G22*F22*data!$D21+L21</f>
        <v>11297.641279511477</v>
      </c>
    </row>
    <row r="23" spans="2:12" x14ac:dyDescent="0.3">
      <c r="K23" s="6">
        <f>K22/I22</f>
        <v>11.613534262613188</v>
      </c>
      <c r="L23" s="7">
        <f>L22/J22</f>
        <v>11.933686415602391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D594-7698-4421-B38E-BA0CB71BF64C}">
  <dimension ref="A1:R23"/>
  <sheetViews>
    <sheetView workbookViewId="0">
      <selection activeCell="O1" sqref="O1:R2"/>
    </sheetView>
  </sheetViews>
  <sheetFormatPr defaultRowHeight="14.4" x14ac:dyDescent="0.3"/>
  <sheetData>
    <row r="1" spans="1:18" x14ac:dyDescent="0.3">
      <c r="A1" s="12" t="s">
        <v>12</v>
      </c>
      <c r="B1" s="12" t="s">
        <v>11</v>
      </c>
      <c r="C1" s="12" t="s">
        <v>13</v>
      </c>
      <c r="D1" s="12" t="s">
        <v>16</v>
      </c>
      <c r="E1" s="12" t="s">
        <v>17</v>
      </c>
      <c r="F1" s="12" t="s">
        <v>18</v>
      </c>
      <c r="G1" s="12" t="s">
        <v>19</v>
      </c>
      <c r="H1" s="13" t="s">
        <v>20</v>
      </c>
      <c r="I1" s="12" t="s">
        <v>26</v>
      </c>
      <c r="J1" s="12" t="s">
        <v>27</v>
      </c>
      <c r="K1" s="12" t="s">
        <v>22</v>
      </c>
      <c r="L1" s="13" t="s">
        <v>23</v>
      </c>
      <c r="M1" s="14" t="s">
        <v>24</v>
      </c>
      <c r="N1" s="14" t="s">
        <v>25</v>
      </c>
      <c r="O1" s="14" t="s">
        <v>29</v>
      </c>
      <c r="P1" s="14" t="s">
        <v>28</v>
      </c>
      <c r="Q1" s="14" t="s">
        <v>30</v>
      </c>
      <c r="R1" s="29" t="s">
        <v>31</v>
      </c>
    </row>
    <row r="2" spans="1:18" x14ac:dyDescent="0.3">
      <c r="A2" s="1">
        <f>-LN(A6/data!B4)/data!B5-LN(1+data!E21)</f>
        <v>1.3421617575806892E-2</v>
      </c>
      <c r="B2" s="2">
        <f>B3*EXP(-(data!F2+$A$2))</f>
        <v>702.40000000000055</v>
      </c>
      <c r="C2" s="2">
        <f>data!B6</f>
        <v>200</v>
      </c>
      <c r="D2" s="2">
        <f>B2+C2</f>
        <v>902.40000000000055</v>
      </c>
      <c r="G2">
        <v>1</v>
      </c>
      <c r="H2" s="10">
        <f>(data!J2+data!K2*(1-data!J2))*G2</f>
        <v>5.6210577500000004E-2</v>
      </c>
      <c r="I2" s="2">
        <f>data!$G2*$H2*E3</f>
        <v>56.529971840901105</v>
      </c>
      <c r="J2" s="2">
        <f>data!$G2*$H2*F3</f>
        <v>49.601769286106318</v>
      </c>
      <c r="K2" s="2">
        <f>data!$G2*$H2*E3*data!$D2</f>
        <v>56.529971840901105</v>
      </c>
      <c r="L2" s="2">
        <f>data!$G2*$H2*F3*data!$D2</f>
        <v>49.601769286106318</v>
      </c>
      <c r="M2" s="6">
        <f>$D2-I22</f>
        <v>-115.5525658653944</v>
      </c>
      <c r="N2" s="7">
        <f>$D2-J22</f>
        <v>-69.146725088573703</v>
      </c>
      <c r="O2" s="2">
        <f>plain_case!M2-M2</f>
        <v>91.053574558292894</v>
      </c>
      <c r="P2" s="2">
        <f>plain_case!N2-N2</f>
        <v>55.939095547670377</v>
      </c>
      <c r="Q2" s="6">
        <f>MAX(O2,0)</f>
        <v>91.053574558292894</v>
      </c>
      <c r="R2" s="7">
        <f>MAX(P2,0)</f>
        <v>55.939095547670377</v>
      </c>
    </row>
    <row r="3" spans="1:18" x14ac:dyDescent="0.3">
      <c r="A3" t="s">
        <v>35</v>
      </c>
      <c r="B3" s="2">
        <f>B4*EXP(-(data!F3+$A$2))</f>
        <v>707.86870973469058</v>
      </c>
      <c r="C3" s="2">
        <f>C2*EXP(data!F2-0.5*data!$B$7^2)</f>
        <v>196.64525018183591</v>
      </c>
      <c r="D3" s="2">
        <f t="shared" ref="D3:D22" si="0">B3+C3</f>
        <v>904.51395991652646</v>
      </c>
      <c r="E3" s="2">
        <f>MAX(F3,1000)</f>
        <v>1000</v>
      </c>
      <c r="F3" s="2">
        <f t="shared" ref="F3:F22" si="1">D3-D2*0.03</f>
        <v>877.44195991652646</v>
      </c>
      <c r="G3" s="1">
        <f>G2*(1-data!J2)*(1-data!K2)</f>
        <v>0.94378942249999997</v>
      </c>
      <c r="H3" s="10">
        <f>(data!J3+data!K3*(1-data!J3))*G3</f>
        <v>5.3695478318161925E-2</v>
      </c>
      <c r="I3" s="2">
        <f>data!$G3*$H3*E4+I2</f>
        <v>110.81555054958609</v>
      </c>
      <c r="J3" s="2">
        <f>data!$G3*$H3*F4+J2</f>
        <v>97.370697530106696</v>
      </c>
      <c r="K3" s="2">
        <f>data!$G3*$H3*E4*data!$D3+K2</f>
        <v>165.10112925827107</v>
      </c>
      <c r="L3" s="2">
        <f>data!$G3*$H3*F4*data!$D3+L2</f>
        <v>145.13962577410709</v>
      </c>
    </row>
    <row r="4" spans="1:18" x14ac:dyDescent="0.3">
      <c r="A4">
        <f>0.097+0.005*5</f>
        <v>0.122</v>
      </c>
      <c r="B4" s="2">
        <f>B5*EXP(-(data!F4+$A$2))</f>
        <v>713.66699972699439</v>
      </c>
      <c r="C4" s="2">
        <f>C3*EXP(data!F3-0.5*data!$B$7^2)</f>
        <v>193.42455807281033</v>
      </c>
      <c r="D4" s="2">
        <f t="shared" si="0"/>
        <v>907.09155779980472</v>
      </c>
      <c r="E4" s="2">
        <f t="shared" ref="E4:E22" si="2">MAX(F4,1000)</f>
        <v>1000</v>
      </c>
      <c r="F4" s="2">
        <f t="shared" si="1"/>
        <v>879.95613900230887</v>
      </c>
      <c r="G4" s="1">
        <f>G3*(1-data!J3)*(1-data!K3)</f>
        <v>0.89009394418183796</v>
      </c>
      <c r="H4" s="10">
        <f>(data!J4+data!K4*(1-data!J4))*G4</f>
        <v>5.1244347919593598E-2</v>
      </c>
      <c r="I4" s="2">
        <f>data!$G4*$H4*E5+I3</f>
        <v>162.82847334122428</v>
      </c>
      <c r="J4" s="2">
        <f>data!$G4*$H4*F5+J3</f>
        <v>143.33692289919287</v>
      </c>
      <c r="K4" s="2">
        <f>data!$G4*$H4*E5*data!$D4+K3</f>
        <v>321.13989763318568</v>
      </c>
      <c r="L4" s="2">
        <f>data!$G4*$H4*F5*data!$D4+L3</f>
        <v>283.03830188136556</v>
      </c>
    </row>
    <row r="5" spans="1:18" x14ac:dyDescent="0.3">
      <c r="A5" t="s">
        <v>36</v>
      </c>
      <c r="B5" s="2">
        <f>B6*EXP(-(data!F5+$A$2))</f>
        <v>720.45360426182356</v>
      </c>
      <c r="C5" s="2">
        <f>C4*EXP(data!F4-0.5*data!$B$7^2)</f>
        <v>190.50539055796133</v>
      </c>
      <c r="D5" s="2">
        <f t="shared" si="0"/>
        <v>910.95899481978495</v>
      </c>
      <c r="E5" s="2">
        <f t="shared" si="2"/>
        <v>1000</v>
      </c>
      <c r="F5" s="2">
        <f t="shared" si="1"/>
        <v>883.74624808579085</v>
      </c>
      <c r="G5" s="1">
        <f>G4*(1-data!J4)*(1-data!K4)</f>
        <v>0.83884959626224431</v>
      </c>
      <c r="H5" s="10">
        <f>(data!J5+data!K5*(1-data!J5))*G5</f>
        <v>4.8825510021164337E-2</v>
      </c>
      <c r="I5" s="2">
        <f>data!$G5*$H5*E6+I4</f>
        <v>212.51885586636251</v>
      </c>
      <c r="J5" s="2">
        <f>data!$G5*$H5*F6+J4</f>
        <v>187.50089625611952</v>
      </c>
      <c r="K5" s="2">
        <f>data!$G5*$H5*E6*data!$D5+K4</f>
        <v>519.90142773373861</v>
      </c>
      <c r="L5" s="2">
        <f>data!$G5*$H5*F6*data!$D5+L4</f>
        <v>459.69419530907214</v>
      </c>
    </row>
    <row r="6" spans="1:18" x14ac:dyDescent="0.3">
      <c r="A6">
        <f>data!B3*(1-A4)</f>
        <v>702.4</v>
      </c>
      <c r="B6" s="2">
        <f>B7*EXP(-(data!F6+$A$2))</f>
        <v>728.24026742497551</v>
      </c>
      <c r="C6" s="2">
        <f>C5*EXP(data!F5-0.5*data!$B$7^2)</f>
        <v>187.87162528216035</v>
      </c>
      <c r="D6" s="2">
        <f t="shared" si="0"/>
        <v>916.11189270713589</v>
      </c>
      <c r="E6" s="2">
        <f t="shared" si="2"/>
        <v>1000</v>
      </c>
      <c r="F6" s="2">
        <f t="shared" si="1"/>
        <v>888.78312286254231</v>
      </c>
      <c r="G6" s="1">
        <f>G5*(1-data!J5)*(1-data!K5)</f>
        <v>0.79002408624107989</v>
      </c>
      <c r="H6" s="10">
        <f>(data!J6+data!K6*(1-data!J6))*G6</f>
        <v>4.6605121041147987E-2</v>
      </c>
      <c r="I6" s="2">
        <f>data!$G6*$H6*E7+I5</f>
        <v>259.96248200492255</v>
      </c>
      <c r="J6" s="2">
        <f>data!$G6*$H6*F7+J5</f>
        <v>230.01581473223646</v>
      </c>
      <c r="K6" s="2">
        <f>data!$G6*$H6*E7*data!$D6+K5</f>
        <v>757.11955842653867</v>
      </c>
      <c r="L6" s="2">
        <f>data!$G6*$H6*F7*data!$D6+L5</f>
        <v>672.26878768965685</v>
      </c>
    </row>
    <row r="7" spans="1:18" x14ac:dyDescent="0.3">
      <c r="B7" s="2">
        <f>B8*EXP(-(data!F7+$A$2))</f>
        <v>737.87864307573057</v>
      </c>
      <c r="C7" s="2">
        <f>C6*EXP(data!F6-0.5*data!$B$7^2)</f>
        <v>185.71915386128686</v>
      </c>
      <c r="D7" s="2">
        <f t="shared" si="0"/>
        <v>923.59779693701739</v>
      </c>
      <c r="E7" s="2">
        <f t="shared" si="2"/>
        <v>1000</v>
      </c>
      <c r="F7" s="2">
        <f t="shared" si="1"/>
        <v>896.11444015580332</v>
      </c>
      <c r="G7" s="1">
        <f>G6*(1-data!J6)*(1-data!K6)</f>
        <v>0.74341896519993189</v>
      </c>
      <c r="H7" s="10">
        <f>(data!J7+data!K7*(1-data!J7))*G7</f>
        <v>4.4590104865391118E-2</v>
      </c>
      <c r="I7" s="2">
        <f>data!$G7*$H7*E8+I6</f>
        <v>305.29818489528418</v>
      </c>
      <c r="J7" s="2">
        <f>data!$G7*$H7*F8+J6</f>
        <v>271.04220252457031</v>
      </c>
      <c r="K7" s="2">
        <f>data!$G7*$H7*E8*data!$D7+K6</f>
        <v>1029.1337757687083</v>
      </c>
      <c r="L7" s="2">
        <f>data!$G7*$H7*F8*data!$D7+L6</f>
        <v>918.42711444365989</v>
      </c>
    </row>
    <row r="8" spans="1:18" x14ac:dyDescent="0.3">
      <c r="B8" s="2">
        <f>B9*EXP(-(data!F8+$A$2))</f>
        <v>748.78347242617576</v>
      </c>
      <c r="C8" s="2">
        <f>C7*EXP(data!F7-0.5*data!$B$7^2)</f>
        <v>183.87100861170401</v>
      </c>
      <c r="D8" s="2">
        <f t="shared" si="0"/>
        <v>932.6544810378798</v>
      </c>
      <c r="E8" s="2">
        <f t="shared" si="2"/>
        <v>1000</v>
      </c>
      <c r="F8" s="2">
        <f t="shared" si="1"/>
        <v>904.94654712976933</v>
      </c>
      <c r="G8" s="1">
        <f>G7*(1-data!J7)*(1-data!K7)</f>
        <v>0.69882886033454072</v>
      </c>
      <c r="H8" s="10">
        <f>(data!J8+data!K8*(1-data!J8))*G8</f>
        <v>4.2627280924763714E-2</v>
      </c>
      <c r="I8" s="2">
        <f>data!$G8*$H8*E9+I7</f>
        <v>348.55131525567646</v>
      </c>
      <c r="J8" s="2">
        <f>data!$G8*$H8*F9+J7</f>
        <v>310.60264539251318</v>
      </c>
      <c r="K8" s="2">
        <f>data!$G8*$H8*E9*data!$D8+K7</f>
        <v>1331.9056882914545</v>
      </c>
      <c r="L8" s="2">
        <f>data!$G8*$H8*F9*data!$D8+L7</f>
        <v>1195.3502145192599</v>
      </c>
    </row>
    <row r="9" spans="1:18" x14ac:dyDescent="0.3">
      <c r="B9" s="2">
        <f>B10*EXP(-(data!F9+$A$2))</f>
        <v>760.42630368478717</v>
      </c>
      <c r="C9" s="2">
        <f>C8*EXP(data!F8-0.5*data!$B$7^2)</f>
        <v>182.17945233150778</v>
      </c>
      <c r="D9" s="2">
        <f t="shared" si="0"/>
        <v>942.60575601629489</v>
      </c>
      <c r="E9" s="2">
        <f t="shared" si="2"/>
        <v>1000</v>
      </c>
      <c r="F9" s="2">
        <f t="shared" si="1"/>
        <v>914.62612158515844</v>
      </c>
      <c r="G9" s="1">
        <f>G8*(1-data!J8)*(1-data!K8)</f>
        <v>0.65620157940977697</v>
      </c>
      <c r="H9" s="10">
        <f>(data!J9+data!K9*(1-data!J9))*G9</f>
        <v>4.0852328039356019E-2</v>
      </c>
      <c r="I9" s="2">
        <f>data!$G9*$H9*E10+I8</f>
        <v>389.7847395277978</v>
      </c>
      <c r="J9" s="2">
        <f>data!$G9*$H9*F10+J8</f>
        <v>348.85108197213629</v>
      </c>
      <c r="K9" s="2">
        <f>data!$G9*$H9*E10*data!$D9+K8</f>
        <v>1661.7730824684249</v>
      </c>
      <c r="L9" s="2">
        <f>data!$G9*$H9*F10*data!$D9+L8</f>
        <v>1501.3377071562445</v>
      </c>
    </row>
    <row r="10" spans="1:18" x14ac:dyDescent="0.3">
      <c r="B10" s="2">
        <f>B11*EXP(-(data!F10+$A$2))</f>
        <v>774.78889318873667</v>
      </c>
      <c r="C10" s="2">
        <f>C9*EXP(data!F9-0.5*data!$B$7^2)</f>
        <v>181.0968516206469</v>
      </c>
      <c r="D10" s="2">
        <f t="shared" si="0"/>
        <v>955.8857448093836</v>
      </c>
      <c r="E10" s="2">
        <f t="shared" si="2"/>
        <v>1000</v>
      </c>
      <c r="F10" s="2">
        <f t="shared" si="1"/>
        <v>927.60757212889473</v>
      </c>
      <c r="G10" s="1">
        <f>G9*(1-data!J9)*(1-data!K9)</f>
        <v>0.61534925137042085</v>
      </c>
      <c r="H10" s="10">
        <f>(data!J10+data!K10*(1-data!J10))*G10</f>
        <v>3.9045520676118668E-2</v>
      </c>
      <c r="I10" s="2">
        <f>data!$G10*$H10*E11+I9</f>
        <v>429.02053480583396</v>
      </c>
      <c r="J10" s="2">
        <f>data!$G10*$H10*F11+J9</f>
        <v>385.72990384327193</v>
      </c>
      <c r="K10" s="2">
        <f>data!$G10*$H10*E11*data!$D10+K9</f>
        <v>2014.8952399707505</v>
      </c>
      <c r="L10" s="2">
        <f>data!$G10*$H10*F11*data!$D10+L9</f>
        <v>1833.2471039964653</v>
      </c>
    </row>
    <row r="11" spans="1:18" x14ac:dyDescent="0.3">
      <c r="B11" s="2">
        <f>B12*EXP(-(data!F11+$A$2))</f>
        <v>788.73964691585786</v>
      </c>
      <c r="C11" s="2">
        <f>C10*EXP(data!F10-0.5*data!$B$7^2)</f>
        <v>179.86490725730363</v>
      </c>
      <c r="D11" s="2">
        <f t="shared" si="0"/>
        <v>968.60455417316143</v>
      </c>
      <c r="E11" s="2">
        <f t="shared" si="2"/>
        <v>1000</v>
      </c>
      <c r="F11" s="2">
        <f t="shared" si="1"/>
        <v>939.92798182887998</v>
      </c>
      <c r="G11" s="1">
        <f>G10*(1-data!J10)*(1-data!K10)</f>
        <v>0.57630373069430219</v>
      </c>
      <c r="H11" s="10">
        <f>(data!J11+data!K11*(1-data!J11))*G11</f>
        <v>3.746068215836254E-2</v>
      </c>
      <c r="I11" s="2">
        <f>data!$G11*$H11*E12+I10</f>
        <v>466.40264031627743</v>
      </c>
      <c r="J11" s="2">
        <f>data!$G11*$H11*F12+J10</f>
        <v>421.43049714773684</v>
      </c>
      <c r="K11" s="2">
        <f>data!$G11*$H11*E12*data!$D11+K10</f>
        <v>2388.7162950751849</v>
      </c>
      <c r="L11" s="2">
        <f>data!$G11*$H11*F12*data!$D11+L10</f>
        <v>2190.2530370411146</v>
      </c>
    </row>
    <row r="12" spans="1:18" x14ac:dyDescent="0.3">
      <c r="B12" s="2">
        <f>B13*EXP(-(data!F12+$A$2))</f>
        <v>804.98125997211264</v>
      </c>
      <c r="C12" s="2">
        <f>C11*EXP(data!F11-0.5*data!$B$7^2)</f>
        <v>179.09513517496339</v>
      </c>
      <c r="D12" s="2">
        <f t="shared" si="0"/>
        <v>984.07639514707603</v>
      </c>
      <c r="E12" s="2">
        <f t="shared" si="2"/>
        <v>1000</v>
      </c>
      <c r="F12" s="2">
        <f t="shared" si="1"/>
        <v>955.01825852188119</v>
      </c>
      <c r="G12" s="1">
        <f>G11*(1-data!J11)*(1-data!K11)</f>
        <v>0.53884304853593956</v>
      </c>
      <c r="H12" s="10">
        <f>(data!J12+data!K12*(1-data!J12))*G12</f>
        <v>3.5472520149649342E-2</v>
      </c>
      <c r="I12" s="2">
        <f>data!$G12*$H12*E13+I11</f>
        <v>501.54517769775453</v>
      </c>
      <c r="J12" s="2">
        <f>data!$G12*$H12*F13+J11</f>
        <v>455.54156059182634</v>
      </c>
      <c r="K12" s="2">
        <f>data!$G12*$H12*E13*data!$D12+K11</f>
        <v>2775.284206271433</v>
      </c>
      <c r="L12" s="2">
        <f>data!$G12*$H12*F13*data!$D12+L11</f>
        <v>2565.4747349260988</v>
      </c>
    </row>
    <row r="13" spans="1:18" x14ac:dyDescent="0.3">
      <c r="B13" s="2">
        <f>B14*EXP(-(data!F13+$A$2))</f>
        <v>821.79162401533779</v>
      </c>
      <c r="C13" s="2">
        <f>C12*EXP(data!F12-0.5*data!$B$7^2)</f>
        <v>178.37951637864273</v>
      </c>
      <c r="D13" s="2">
        <f t="shared" si="0"/>
        <v>1000.1711403939805</v>
      </c>
      <c r="E13" s="2">
        <f t="shared" si="2"/>
        <v>1000</v>
      </c>
      <c r="F13" s="2">
        <f t="shared" si="1"/>
        <v>970.64884853956823</v>
      </c>
      <c r="G13" s="1">
        <f>G12*(1-data!J12)*(1-data!K12)</f>
        <v>0.50337052838629026</v>
      </c>
      <c r="H13" s="10">
        <f>(data!J13+data!K13*(1-data!J13))*G13</f>
        <v>3.387190327753388E-2</v>
      </c>
      <c r="I13" s="2">
        <f>data!$G13*$H13*E14+I12</f>
        <v>534.81727630952594</v>
      </c>
      <c r="J13" s="2">
        <f>data!$G13*$H13*F14+J12</f>
        <v>488.41143553270524</v>
      </c>
      <c r="K13" s="2">
        <f>data!$G13*$H13*E14*data!$D13+K12</f>
        <v>3174.54938961269</v>
      </c>
      <c r="L13" s="2">
        <f>data!$G13*$H13*F14*data!$D13+L12</f>
        <v>2959.9132342166454</v>
      </c>
    </row>
    <row r="14" spans="1:18" x14ac:dyDescent="0.3">
      <c r="B14" s="2">
        <f>B15*EXP(-(data!F14+$A$2))</f>
        <v>840.02289368058803</v>
      </c>
      <c r="C14" s="2">
        <f>C13*EXP(data!F13-0.5*data!$B$7^2)</f>
        <v>177.89332255867487</v>
      </c>
      <c r="D14" s="2">
        <f t="shared" si="0"/>
        <v>1017.9162162392629</v>
      </c>
      <c r="E14" s="2">
        <f t="shared" si="2"/>
        <v>1000</v>
      </c>
      <c r="F14" s="2">
        <f t="shared" si="1"/>
        <v>987.91108202744351</v>
      </c>
      <c r="G14" s="1">
        <f>G13*(1-data!J13)*(1-data!K13)</f>
        <v>0.46949862510875634</v>
      </c>
      <c r="H14" s="10">
        <f>(data!J14+data!K14*(1-data!J14))*G14</f>
        <v>3.2448874452923326E-2</v>
      </c>
      <c r="I14" s="2">
        <f>data!$G14*$H14*E15+I13</f>
        <v>566.59584187299834</v>
      </c>
      <c r="J14" s="2">
        <f>data!$G14*$H14*F15+J13</f>
        <v>520.19000109617764</v>
      </c>
      <c r="K14" s="2">
        <f>data!$G14*$H14*E15*data!$D14+K13</f>
        <v>3587.6707419378317</v>
      </c>
      <c r="L14" s="2">
        <f>data!$G14*$H14*F15*data!$D14+L13</f>
        <v>3373.0345865417871</v>
      </c>
    </row>
    <row r="15" spans="1:18" x14ac:dyDescent="0.3">
      <c r="B15" s="2">
        <f>B16*EXP(-(data!F15+$A$2))</f>
        <v>858.63792121636664</v>
      </c>
      <c r="C15" s="2">
        <f>C14*EXP(data!F14-0.5*data!$B$7^2)</f>
        <v>177.40417729011031</v>
      </c>
      <c r="D15" s="2">
        <f t="shared" si="0"/>
        <v>1036.042098506477</v>
      </c>
      <c r="E15" s="2">
        <f t="shared" si="2"/>
        <v>1005.5046120192992</v>
      </c>
      <c r="F15" s="2">
        <f t="shared" si="1"/>
        <v>1005.5046120192992</v>
      </c>
      <c r="G15" s="1">
        <f>G14*(1-data!J14)*(1-data!K14)</f>
        <v>0.43704975065583301</v>
      </c>
      <c r="H15" s="10">
        <f>(data!J15+data!K15*(1-data!J15))*G15</f>
        <v>3.1289227944148963E-2</v>
      </c>
      <c r="I15" s="2">
        <f>data!$G15*$H15*E16+I14</f>
        <v>597.5236021939138</v>
      </c>
      <c r="J15" s="2">
        <f>data!$G15*$H15*F16+J14</f>
        <v>551.11776141709311</v>
      </c>
      <c r="K15" s="2">
        <f>data!$G15*$H15*E16*data!$D15+K14</f>
        <v>4020.6593864306487</v>
      </c>
      <c r="L15" s="2">
        <f>data!$G15*$H15*F16*data!$D15+L14</f>
        <v>3806.0232310346041</v>
      </c>
    </row>
    <row r="16" spans="1:18" x14ac:dyDescent="0.3">
      <c r="B16" s="2">
        <f>B17*EXP(-(data!F16+$A$2))</f>
        <v>877.99536108777977</v>
      </c>
      <c r="C16" s="2">
        <f>C15*EXP(data!F15-0.5*data!$B$7^2)</f>
        <v>176.98287708967209</v>
      </c>
      <c r="D16" s="2">
        <f t="shared" si="0"/>
        <v>1054.9782381774519</v>
      </c>
      <c r="E16" s="2">
        <f t="shared" si="2"/>
        <v>1023.8969752222575</v>
      </c>
      <c r="F16" s="2">
        <f t="shared" si="1"/>
        <v>1023.8969752222575</v>
      </c>
      <c r="G16" s="1">
        <f>G15*(1-data!J15)*(1-data!K15)</f>
        <v>0.40576052271168406</v>
      </c>
      <c r="H16" s="10">
        <f>(data!J16+data!K16*(1-data!J16))*G16</f>
        <v>3.0110640148061345E-2</v>
      </c>
      <c r="I16" s="2">
        <f>data!$G16*$H16*E17+I15</f>
        <v>627.56591842723526</v>
      </c>
      <c r="J16" s="2">
        <f>data!$G16*$H16*F17+J15</f>
        <v>581.16007765041456</v>
      </c>
      <c r="K16" s="2">
        <f>data!$G16*$H16*E17*data!$D16+K15</f>
        <v>4471.2941299304712</v>
      </c>
      <c r="L16" s="2">
        <f>data!$G16*$H16*F17*data!$D16+L15</f>
        <v>4256.6579745344261</v>
      </c>
    </row>
    <row r="17" spans="2:12" x14ac:dyDescent="0.3">
      <c r="B17" s="2">
        <f>B18*EXP(-(data!F17+$A$2))</f>
        <v>898.39549466041638</v>
      </c>
      <c r="C17" s="2">
        <f>C16*EXP(data!F16-0.5*data!$B$7^2)</f>
        <v>176.68181317458851</v>
      </c>
      <c r="D17" s="2">
        <f t="shared" si="0"/>
        <v>1075.0773078350048</v>
      </c>
      <c r="E17" s="2">
        <f t="shared" si="2"/>
        <v>1043.4279606896812</v>
      </c>
      <c r="F17" s="2">
        <f t="shared" si="1"/>
        <v>1043.4279606896812</v>
      </c>
      <c r="G17" s="1">
        <f>G16*(1-data!J16)*(1-data!K16)</f>
        <v>0.37564988256362275</v>
      </c>
      <c r="H17" s="10">
        <f>(data!J17+data!K17*(1-data!J17))*G17</f>
        <v>2.9326576497720153E-2</v>
      </c>
      <c r="I17" s="2">
        <f>data!$G17*$H17*E18+I16</f>
        <v>657.10088275234227</v>
      </c>
      <c r="J17" s="2">
        <f>data!$G17*$H17*F18+J16</f>
        <v>610.69504197552158</v>
      </c>
      <c r="K17" s="2">
        <f>data!$G17*$H17*E18*data!$D17+K16</f>
        <v>4943.8535591321834</v>
      </c>
      <c r="L17" s="2">
        <f>data!$G17*$H17*F18*data!$D17+L16</f>
        <v>4729.2174037361383</v>
      </c>
    </row>
    <row r="18" spans="2:12" x14ac:dyDescent="0.3">
      <c r="B18" s="2">
        <f>B19*EXP(-(data!F18+$A$2))</f>
        <v>917.49125089347524</v>
      </c>
      <c r="C18" s="2">
        <f>C17*EXP(data!F17-0.5*data!$B$7^2)</f>
        <v>176.04004315509536</v>
      </c>
      <c r="D18" s="2">
        <f t="shared" si="0"/>
        <v>1093.5312940485705</v>
      </c>
      <c r="E18" s="2">
        <f t="shared" si="2"/>
        <v>1061.2789748135203</v>
      </c>
      <c r="F18" s="2">
        <f t="shared" si="1"/>
        <v>1061.2789748135203</v>
      </c>
      <c r="G18" s="1">
        <f>G17*(1-data!J17)*(1-data!K17)</f>
        <v>0.34632330606590261</v>
      </c>
      <c r="H18" s="10">
        <f>(data!J18+data!K18*(1-data!J18))*G18</f>
        <v>2.8019363095227533E-2</v>
      </c>
      <c r="I18" s="2">
        <f>data!$G18*$H18*E19+I17</f>
        <v>685.58753857984073</v>
      </c>
      <c r="J18" s="2">
        <f>data!$G18*$H18*F19+J17</f>
        <v>639.18169780302003</v>
      </c>
      <c r="K18" s="2">
        <f>data!$G18*$H18*E19*data!$D18+K17</f>
        <v>5428.1267081996566</v>
      </c>
      <c r="L18" s="2">
        <f>data!$G18*$H18*F19*data!$D18+L17</f>
        <v>5213.4905528036115</v>
      </c>
    </row>
    <row r="19" spans="2:12" x14ac:dyDescent="0.3">
      <c r="B19" s="2">
        <f>B20*EXP(-(data!F19+$A$2))</f>
        <v>935.94660565436106</v>
      </c>
      <c r="C19" s="2">
        <f>C18*EXP(data!F18-0.5*data!$B$7^2)</f>
        <v>175.20474387499587</v>
      </c>
      <c r="D19" s="2">
        <f t="shared" si="0"/>
        <v>1111.151349529357</v>
      </c>
      <c r="E19" s="2">
        <f t="shared" si="2"/>
        <v>1078.3454107078999</v>
      </c>
      <c r="F19" s="2">
        <f t="shared" si="1"/>
        <v>1078.3454107078999</v>
      </c>
      <c r="G19" s="1">
        <f>G18*(1-data!J18)*(1-data!K18)</f>
        <v>0.31830394297067505</v>
      </c>
      <c r="H19" s="10">
        <f>(data!J19+data!K19*(1-data!J19))*G19</f>
        <v>2.6708452393674649E-2</v>
      </c>
      <c r="I19" s="2">
        <f>data!$G19*$H19*E20+I18</f>
        <v>713.00280882589027</v>
      </c>
      <c r="J19" s="2">
        <f>data!$G19*$H19*F20+J18</f>
        <v>666.59696804906957</v>
      </c>
      <c r="K19" s="2">
        <f>data!$G19*$H19*E20*data!$D19+K18</f>
        <v>5921.6015726285477</v>
      </c>
      <c r="L19" s="2">
        <f>data!$G19*$H19*F20*data!$D19+L18</f>
        <v>5706.9654172325027</v>
      </c>
    </row>
    <row r="20" spans="2:12" x14ac:dyDescent="0.3">
      <c r="B20" s="2">
        <f>B21*EXP(-(data!F20+$A$2))</f>
        <v>954.96295308946844</v>
      </c>
      <c r="C20" s="2">
        <f>C19*EXP(data!F19-0.5*data!$B$7^2)</f>
        <v>174.40806505977133</v>
      </c>
      <c r="D20" s="2">
        <f t="shared" si="0"/>
        <v>1129.3710181492397</v>
      </c>
      <c r="E20" s="2">
        <f t="shared" si="2"/>
        <v>1096.0364776633589</v>
      </c>
      <c r="F20" s="2">
        <f t="shared" si="1"/>
        <v>1096.0364776633589</v>
      </c>
      <c r="G20" s="1">
        <f>G19*(1-data!J19)*(1-data!K19)</f>
        <v>0.2915954905770004</v>
      </c>
      <c r="H20" s="10">
        <f>(data!J20+data!K20*(1-data!J20))*G20</f>
        <v>2.5455638693787565E-2</v>
      </c>
      <c r="I20" s="2">
        <f>data!$G20*$H20*E21+I19</f>
        <v>739.38692122873249</v>
      </c>
      <c r="J20" s="2">
        <f>data!$G20*$H20*F21+J19</f>
        <v>692.98108045191179</v>
      </c>
      <c r="K20" s="2">
        <f>data!$G20*$H20*E21*data!$D20+K19</f>
        <v>6422.8997082825508</v>
      </c>
      <c r="L20" s="2">
        <f>data!$G20*$H20*F21*data!$D20+L19</f>
        <v>6208.2635528865057</v>
      </c>
    </row>
    <row r="21" spans="2:12" x14ac:dyDescent="0.3">
      <c r="B21" s="2">
        <f>B22*EXP(-(data!F21+$A$2))</f>
        <v>976.00689979751587</v>
      </c>
      <c r="C21" s="2">
        <f>C20*EXP(data!F20-0.5*data!$B$7^2)</f>
        <v>173.90744738859118</v>
      </c>
      <c r="D21" s="2">
        <f t="shared" si="0"/>
        <v>1149.9143471861071</v>
      </c>
      <c r="E21" s="2">
        <f t="shared" si="2"/>
        <v>1116.0332166416299</v>
      </c>
      <c r="F21" s="2">
        <f t="shared" si="1"/>
        <v>1116.0332166416299</v>
      </c>
      <c r="G21" s="1">
        <f>G20*(1-data!J20)*(1-data!K20)</f>
        <v>0.26613985188321282</v>
      </c>
      <c r="H21" s="10">
        <f>(data!J21+data!K21*(1-data!J21))*G21</f>
        <v>2.4169905826942908E-2</v>
      </c>
      <c r="I21" s="2">
        <f>data!$G21*$H21*E22+I20</f>
        <v>764.68529480881659</v>
      </c>
      <c r="J21" s="2">
        <f>data!$G21*$H21*F22+J20</f>
        <v>718.2794540319959</v>
      </c>
      <c r="K21" s="2">
        <f>data!$G21*$H21*E22*data!$D21+K20</f>
        <v>6928.8671798842333</v>
      </c>
      <c r="L21" s="2">
        <f>data!$G21*$H21*F22*data!$D21+L20</f>
        <v>6714.2310244881883</v>
      </c>
    </row>
    <row r="22" spans="2:12" x14ac:dyDescent="0.3">
      <c r="B22" s="2">
        <f>data!B4</f>
        <v>1000</v>
      </c>
      <c r="C22" s="2">
        <f>C21*EXP(data!F21-0.5*data!$B$7^2)</f>
        <v>173.84033303342181</v>
      </c>
      <c r="D22" s="2">
        <f t="shared" si="0"/>
        <v>1173.8403330334218</v>
      </c>
      <c r="E22" s="2">
        <f t="shared" si="2"/>
        <v>1139.3429026178385</v>
      </c>
      <c r="F22" s="2">
        <f t="shared" si="1"/>
        <v>1139.3429026178385</v>
      </c>
      <c r="G22" s="1">
        <f>G21*(1-data!J21)*(1-data!K21)</f>
        <v>0.24196994605626992</v>
      </c>
      <c r="H22" s="10"/>
      <c r="I22" s="8">
        <f>data!$G21*$G22*E22+I21</f>
        <v>1017.9525658653949</v>
      </c>
      <c r="J22" s="8">
        <f>data!$G21*$G22*F22+J21</f>
        <v>971.54672508857425</v>
      </c>
      <c r="K22" s="2">
        <f>data!$G21*$G22*E22*data!$D21+K21</f>
        <v>11994.212601015801</v>
      </c>
      <c r="L22" s="2">
        <f>data!$G21*$G22*F22*data!$D21+L21</f>
        <v>11779.576445619756</v>
      </c>
    </row>
    <row r="23" spans="2:12" x14ac:dyDescent="0.3">
      <c r="K23" s="6">
        <f>K22/I22</f>
        <v>11.782683204712123</v>
      </c>
      <c r="L23" s="7">
        <f>L22/J22</f>
        <v>12.124559881096642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D3B3-FC7E-4389-8EC4-2B22C2ACD329}">
  <dimension ref="A1:R23"/>
  <sheetViews>
    <sheetView workbookViewId="0">
      <selection sqref="A1:R23"/>
    </sheetView>
  </sheetViews>
  <sheetFormatPr defaultRowHeight="14.4" x14ac:dyDescent="0.3"/>
  <sheetData>
    <row r="1" spans="1:18" x14ac:dyDescent="0.3">
      <c r="A1" s="12" t="s">
        <v>12</v>
      </c>
      <c r="B1" s="12" t="s">
        <v>11</v>
      </c>
      <c r="C1" s="12" t="s">
        <v>13</v>
      </c>
      <c r="D1" s="12" t="s">
        <v>16</v>
      </c>
      <c r="E1" s="12" t="s">
        <v>17</v>
      </c>
      <c r="F1" s="12" t="s">
        <v>18</v>
      </c>
      <c r="G1" s="12" t="s">
        <v>19</v>
      </c>
      <c r="H1" s="13" t="s">
        <v>20</v>
      </c>
      <c r="I1" s="12" t="s">
        <v>26</v>
      </c>
      <c r="J1" s="12" t="s">
        <v>27</v>
      </c>
      <c r="K1" s="12" t="s">
        <v>22</v>
      </c>
      <c r="L1" s="13" t="s">
        <v>23</v>
      </c>
      <c r="M1" s="28" t="s">
        <v>24</v>
      </c>
      <c r="N1" s="29" t="s">
        <v>25</v>
      </c>
      <c r="O1" s="14" t="s">
        <v>29</v>
      </c>
      <c r="P1" s="14" t="s">
        <v>28</v>
      </c>
      <c r="Q1" s="14" t="s">
        <v>30</v>
      </c>
      <c r="R1" s="29" t="s">
        <v>31</v>
      </c>
    </row>
    <row r="2" spans="1:18" x14ac:dyDescent="0.3">
      <c r="A2" s="1">
        <f>-LN(data!B3/data!B4)/data!B5-LN(1+data!E21)</f>
        <v>6.9161833084558722E-3</v>
      </c>
      <c r="B2" s="2">
        <f>B3*EXP(-(data!F2+$A$2))</f>
        <v>800.00000000000068</v>
      </c>
      <c r="C2" s="2">
        <f>data!B6</f>
        <v>200</v>
      </c>
      <c r="D2" s="2">
        <f>B2+C2</f>
        <v>1000.0000000000007</v>
      </c>
      <c r="G2">
        <v>1</v>
      </c>
      <c r="H2" s="10">
        <f>(A4+data!K2*(1-A4))*G2</f>
        <v>5.7142164124999999E-2</v>
      </c>
      <c r="I2" s="2">
        <f>data!$G2*$H2*E3</f>
        <v>57.46685183788405</v>
      </c>
      <c r="J2" s="2">
        <f>data!$G2*$H2*F3</f>
        <v>55.60756959795858</v>
      </c>
      <c r="K2" s="2">
        <f>data!$G2*$H2*E3*data!$D2</f>
        <v>57.46685183788405</v>
      </c>
      <c r="L2" s="2">
        <f>data!$G2*$H2*F3*data!$D2</f>
        <v>55.60756959795858</v>
      </c>
      <c r="M2" s="6">
        <f>$D2-I22</f>
        <v>-24.084574821658634</v>
      </c>
      <c r="N2" s="7">
        <f>$D2-J22</f>
        <v>-12.591704910201202</v>
      </c>
      <c r="O2" s="2">
        <f>plain_case!M2-M2</f>
        <v>-0.41441648544287091</v>
      </c>
      <c r="P2" s="2">
        <f>plain_case!N2-N2</f>
        <v>-0.61592463070212489</v>
      </c>
      <c r="Q2" s="6">
        <f>MAX(O2,0)</f>
        <v>0</v>
      </c>
      <c r="R2" s="7">
        <f>MAX(P2,0)</f>
        <v>0</v>
      </c>
    </row>
    <row r="3" spans="1:18" x14ac:dyDescent="0.3">
      <c r="A3" s="22" t="s">
        <v>7</v>
      </c>
      <c r="B3" s="2">
        <f>B4*EXP(-(data!F3+$A$2))</f>
        <v>801.00075476775532</v>
      </c>
      <c r="C3" s="2">
        <f>C2*EXP(data!F2-0.5*data!$B$7^2)</f>
        <v>196.64525018183591</v>
      </c>
      <c r="D3" s="2">
        <f t="shared" ref="D3:D22" si="0">B3+C3</f>
        <v>997.6460049495912</v>
      </c>
      <c r="E3" s="2">
        <f>MAX(F3,1000)</f>
        <v>1000</v>
      </c>
      <c r="F3" s="2">
        <f t="shared" ref="F3:F22" si="1">D3-D2*0.03</f>
        <v>967.6460049495912</v>
      </c>
      <c r="G3" s="1">
        <f>G2*(1-A4)*(1-data!K2)</f>
        <v>0.94285783587500005</v>
      </c>
      <c r="H3" s="10">
        <f>(A5+data!K3*(1-A5))*G3</f>
        <v>5.4617414895519155E-2</v>
      </c>
      <c r="I3" s="2">
        <f>data!$G3*$H3*E4+I2</f>
        <v>112.68449898514393</v>
      </c>
      <c r="J3" s="2">
        <f>data!$G3*$H3*F4+J2</f>
        <v>108.93791046014465</v>
      </c>
      <c r="K3" s="2">
        <f>data!$G3*$H3*E4*data!$D3+K2</f>
        <v>167.90214613240383</v>
      </c>
      <c r="L3" s="2">
        <f>data!$G3*$H3*F4*data!$D3+L2</f>
        <v>162.26825132233074</v>
      </c>
    </row>
    <row r="4" spans="1:18" x14ac:dyDescent="0.3">
      <c r="A4" s="30">
        <f>data!J2*1.15</f>
        <v>7.5180674999999987E-3</v>
      </c>
      <c r="B4" s="2">
        <f>B5*EXP(-(data!F4+$A$2))</f>
        <v>802.32541779862527</v>
      </c>
      <c r="C4" s="2">
        <f>C3*EXP(data!F3-0.5*data!$B$7^2)</f>
        <v>193.42455807281033</v>
      </c>
      <c r="D4" s="2">
        <f t="shared" si="0"/>
        <v>995.74997587143559</v>
      </c>
      <c r="E4" s="2">
        <f t="shared" ref="E4:E22" si="2">MAX(F4,1000)</f>
        <v>1000</v>
      </c>
      <c r="F4" s="2">
        <f t="shared" si="1"/>
        <v>965.82059572294781</v>
      </c>
      <c r="G4" s="1">
        <f>G3*(1-A5)*(1-data!K3)</f>
        <v>0.88824042097948086</v>
      </c>
      <c r="H4" s="10">
        <f>(A6+data!K4*(1-A6))*G4</f>
        <v>5.2146479593494673E-2</v>
      </c>
      <c r="I4" s="2">
        <f>data!$G4*$H4*E5+I3</f>
        <v>165.6130838352814</v>
      </c>
      <c r="J4" s="2">
        <f>data!$G4*$H4*F5+J3</f>
        <v>160.03177891990509</v>
      </c>
      <c r="K4" s="2">
        <f>data!$G4*$H4*E5*data!$D4+K3</f>
        <v>326.68790068281623</v>
      </c>
      <c r="L4" s="2">
        <f>data!$G4*$H4*F5*data!$D4+L3</f>
        <v>315.54985670161204</v>
      </c>
    </row>
    <row r="5" spans="1:18" x14ac:dyDescent="0.3">
      <c r="A5" s="30">
        <f>data!J3*1.15</f>
        <v>8.3447564999999998E-3</v>
      </c>
      <c r="B5" s="2">
        <f>B6*EXP(-(data!F5+$A$2))</f>
        <v>804.70311013269441</v>
      </c>
      <c r="C5" s="2">
        <f>C4*EXP(data!F4-0.5*data!$B$7^2)</f>
        <v>190.50539055796133</v>
      </c>
      <c r="D5" s="2">
        <f t="shared" si="0"/>
        <v>995.20850069065568</v>
      </c>
      <c r="E5" s="2">
        <f t="shared" si="2"/>
        <v>1000</v>
      </c>
      <c r="F5" s="2">
        <f t="shared" si="1"/>
        <v>965.33600141451257</v>
      </c>
      <c r="G5" s="1">
        <f>G4*(1-A6)*(1-data!K4)</f>
        <v>0.83609394138598614</v>
      </c>
      <c r="H5" s="10">
        <f>(A7+data!K5*(1-A7))*G5</f>
        <v>4.9694179120810596E-2</v>
      </c>
      <c r="I5" s="2">
        <f>data!$G5*$H5*E6+I4</f>
        <v>216.18752266275993</v>
      </c>
      <c r="J5" s="2">
        <f>data!$G5*$H5*F6+J4</f>
        <v>208.89383625208018</v>
      </c>
      <c r="K5" s="2">
        <f>data!$G5*$H5*E6*data!$D5+K4</f>
        <v>528.98565599273036</v>
      </c>
      <c r="L5" s="2">
        <f>data!$G5*$H5*F6*data!$D5+L4</f>
        <v>510.99808603031238</v>
      </c>
    </row>
    <row r="6" spans="1:18" x14ac:dyDescent="0.3">
      <c r="A6" s="30">
        <f>data!J4*1.15</f>
        <v>9.1659140000000007E-3</v>
      </c>
      <c r="B6" s="2">
        <f>B7*EXP(-(data!F6+$A$2))</f>
        <v>808.12599413125622</v>
      </c>
      <c r="C6" s="2">
        <f>C5*EXP(data!F5-0.5*data!$B$7^2)</f>
        <v>187.87162528216035</v>
      </c>
      <c r="D6" s="2">
        <f t="shared" si="0"/>
        <v>995.9976194134166</v>
      </c>
      <c r="E6" s="2">
        <f t="shared" si="2"/>
        <v>1000</v>
      </c>
      <c r="F6" s="2">
        <f t="shared" si="1"/>
        <v>966.14136439269691</v>
      </c>
      <c r="G6" s="1">
        <f>G5*(1-A7)*(1-data!K5)</f>
        <v>0.78639976226517549</v>
      </c>
      <c r="H6" s="10">
        <f>(A8+data!K6*(1-A8))*G6</f>
        <v>4.7452013836063532E-2</v>
      </c>
      <c r="I6" s="2">
        <f>data!$G6*$H6*E7+I5</f>
        <v>264.49327863263051</v>
      </c>
      <c r="J6" s="2">
        <f>data!$G6*$H6*F7+J5</f>
        <v>255.71908813136136</v>
      </c>
      <c r="K6" s="2">
        <f>data!$G6*$H6*E7*data!$D6+K5</f>
        <v>770.51443584208323</v>
      </c>
      <c r="L6" s="2">
        <f>data!$G6*$H6*F7*data!$D6+L5</f>
        <v>745.12434542671826</v>
      </c>
    </row>
    <row r="7" spans="1:18" x14ac:dyDescent="0.3">
      <c r="A7" s="30">
        <f>data!J5*1.15</f>
        <v>9.9327570000000004E-3</v>
      </c>
      <c r="B7" s="2">
        <f>B8*EXP(-(data!F7+$A$2))</f>
        <v>813.51216854853408</v>
      </c>
      <c r="C7" s="2">
        <f>C6*EXP(data!F6-0.5*data!$B$7^2)</f>
        <v>185.71915386128686</v>
      </c>
      <c r="D7" s="2">
        <f t="shared" si="0"/>
        <v>999.2313224098209</v>
      </c>
      <c r="E7" s="2">
        <f t="shared" si="2"/>
        <v>1000</v>
      </c>
      <c r="F7" s="2">
        <f t="shared" si="1"/>
        <v>969.35139382741841</v>
      </c>
      <c r="G7" s="1">
        <f>G6*(1-A8)*(1-data!K6)</f>
        <v>0.73894774842911204</v>
      </c>
      <c r="H7" s="10">
        <f>(A9+data!K7*(1-A9))*G7</f>
        <v>4.5428102501711295E-2</v>
      </c>
      <c r="I7" s="2">
        <f>data!$G7*$H7*E8+I6</f>
        <v>310.68099144711596</v>
      </c>
      <c r="J7" s="2">
        <f>data!$G7*$H7*F8+J6</f>
        <v>300.70942120014871</v>
      </c>
      <c r="K7" s="2">
        <f>data!$G7*$H7*E8*data!$D7+K6</f>
        <v>1047.640712728996</v>
      </c>
      <c r="L7" s="2">
        <f>data!$G7*$H7*F8*data!$D7+L6</f>
        <v>1015.0663438394424</v>
      </c>
    </row>
    <row r="8" spans="1:18" x14ac:dyDescent="0.3">
      <c r="A8" s="30">
        <f>data!J6*1.15</f>
        <v>1.0885083499999998E-2</v>
      </c>
      <c r="B8" s="2">
        <f>B9*EXP(-(data!F8+$A$2))</f>
        <v>820.18172583944408</v>
      </c>
      <c r="C8" s="2">
        <f>C7*EXP(data!F7-0.5*data!$B$7^2)</f>
        <v>183.87100861170401</v>
      </c>
      <c r="D8" s="2">
        <f t="shared" si="0"/>
        <v>1004.0527344511481</v>
      </c>
      <c r="E8" s="2">
        <f t="shared" si="2"/>
        <v>1000</v>
      </c>
      <c r="F8" s="2">
        <f t="shared" si="1"/>
        <v>974.07579477885349</v>
      </c>
      <c r="G8" s="1">
        <f>G7*(1-A9)*(1-data!K7)</f>
        <v>0.69351964592740067</v>
      </c>
      <c r="H8" s="10">
        <f>(A10+data!K8*(1-A10))*G8</f>
        <v>4.3447545507709205E-2</v>
      </c>
      <c r="I8" s="2">
        <f>data!$G8*$H8*E9+I7</f>
        <v>354.76642943226091</v>
      </c>
      <c r="J8" s="2">
        <f>data!$G8*$H8*F9+J7</f>
        <v>343.89514520333358</v>
      </c>
      <c r="K8" s="2">
        <f>data!$G8*$H8*E9*data!$D8+K7</f>
        <v>1356.2387786250106</v>
      </c>
      <c r="L8" s="2">
        <f>data!$G8*$H8*F9*data!$D8+L7</f>
        <v>1317.3664118617367</v>
      </c>
    </row>
    <row r="9" spans="1:18" x14ac:dyDescent="0.3">
      <c r="A9" s="30">
        <f>data!J7*1.15</f>
        <v>1.2080784499999999E-2</v>
      </c>
      <c r="B9" s="2">
        <f>B10*EXP(-(data!F9+$A$2))</f>
        <v>827.53371315724314</v>
      </c>
      <c r="C9" s="2">
        <f>C8*EXP(data!F8-0.5*data!$B$7^2)</f>
        <v>182.17945233150778</v>
      </c>
      <c r="D9" s="2">
        <f t="shared" si="0"/>
        <v>1009.713165488751</v>
      </c>
      <c r="E9" s="2">
        <f t="shared" si="2"/>
        <v>1000</v>
      </c>
      <c r="F9" s="2">
        <f t="shared" si="1"/>
        <v>979.59158345521655</v>
      </c>
      <c r="G9" s="1">
        <f>G8*(1-A10)*(1-data!K8)</f>
        <v>0.65007210041969143</v>
      </c>
      <c r="H9" s="10">
        <f>(A11+data!K9*(1-A11))*G9</f>
        <v>4.1665801813240158E-2</v>
      </c>
      <c r="I9" s="2">
        <f>data!$G9*$H9*E10+I8</f>
        <v>396.82091607371632</v>
      </c>
      <c r="J9" s="2">
        <f>data!$G9*$H9*F10+J8</f>
        <v>385.46608558026094</v>
      </c>
      <c r="K9" s="2">
        <f>data!$G9*$H9*E10*data!$D9+K8</f>
        <v>1692.6746717566541</v>
      </c>
      <c r="L9" s="2">
        <f>data!$G9*$H9*F10*data!$D9+L8</f>
        <v>1649.9339348771555</v>
      </c>
    </row>
    <row r="10" spans="1:18" x14ac:dyDescent="0.3">
      <c r="A10" s="30">
        <f>data!J8*1.15</f>
        <v>1.3313572999999997E-2</v>
      </c>
      <c r="B10" s="2">
        <f>B11*EXP(-(data!F10+$A$2))</f>
        <v>837.69645352899374</v>
      </c>
      <c r="C10" s="2">
        <f>C9*EXP(data!F9-0.5*data!$B$7^2)</f>
        <v>181.0968516206469</v>
      </c>
      <c r="D10" s="2">
        <f t="shared" si="0"/>
        <v>1018.7933051496407</v>
      </c>
      <c r="E10" s="2">
        <f t="shared" si="2"/>
        <v>1000</v>
      </c>
      <c r="F10" s="2">
        <f t="shared" si="1"/>
        <v>988.5019101849781</v>
      </c>
      <c r="G10" s="1">
        <f>G9*(1-A11)*(1-data!K9)</f>
        <v>0.60840629860645123</v>
      </c>
      <c r="H10" s="10">
        <f>(A12+data!K10*(1-A12))*G10</f>
        <v>3.9832670733027445E-2</v>
      </c>
      <c r="I10" s="2">
        <f>data!$G10*$H10*E11+I9</f>
        <v>436.8476973074055</v>
      </c>
      <c r="J10" s="2">
        <f>data!$G10*$H10*F11+J9</f>
        <v>425.35482739594818</v>
      </c>
      <c r="K10" s="2">
        <f>data!$G10*$H10*E11*data!$D10+K9</f>
        <v>2052.9157028598565</v>
      </c>
      <c r="L10" s="2">
        <f>data!$G10*$H10*F11*data!$D10+L9</f>
        <v>2008.9326112183408</v>
      </c>
    </row>
    <row r="11" spans="1:18" x14ac:dyDescent="0.3">
      <c r="A11" s="30">
        <f>data!J9*1.15</f>
        <v>1.4835919999999999E-2</v>
      </c>
      <c r="B11" s="2">
        <f>B12*EXP(-(data!F11+$A$2))</f>
        <v>847.2502154423895</v>
      </c>
      <c r="C11" s="2">
        <f>C10*EXP(data!F10-0.5*data!$B$7^2)</f>
        <v>179.86490725730363</v>
      </c>
      <c r="D11" s="2">
        <f t="shared" si="0"/>
        <v>1027.1151226996931</v>
      </c>
      <c r="E11" s="2">
        <f t="shared" si="2"/>
        <v>1000</v>
      </c>
      <c r="F11" s="2">
        <f t="shared" si="1"/>
        <v>996.5513235452039</v>
      </c>
      <c r="G11" s="1">
        <f>G10*(1-A12)*(1-data!K10)</f>
        <v>0.5685736278734238</v>
      </c>
      <c r="H11" s="10">
        <f>(A13+data!K11*(1-A13))*G11</f>
        <v>3.8237642592683044E-2</v>
      </c>
      <c r="I11" s="2">
        <f>data!$G11*$H11*E12+I10</f>
        <v>475.2864065374111</v>
      </c>
      <c r="J11" s="2">
        <f>data!$G11*$H11*F12+J10</f>
        <v>463.79353662595378</v>
      </c>
      <c r="K11" s="2">
        <f>data!$G11*$H11*E12*data!$D11+K10</f>
        <v>2437.3027951599124</v>
      </c>
      <c r="L11" s="2">
        <f>data!$G11*$H11*F12*data!$D11+L10</f>
        <v>2393.3197035183966</v>
      </c>
    </row>
    <row r="12" spans="1:18" x14ac:dyDescent="0.3">
      <c r="A12" s="30">
        <f>data!J10*1.15</f>
        <v>1.6284747499999998E-2</v>
      </c>
      <c r="B12" s="2">
        <f>B13*EXP(-(data!F12+$A$2))</f>
        <v>859.08970000200384</v>
      </c>
      <c r="C12" s="2">
        <f>C11*EXP(data!F11-0.5*data!$B$7^2)</f>
        <v>179.09513517496339</v>
      </c>
      <c r="D12" s="2">
        <f t="shared" si="0"/>
        <v>1038.1848351769672</v>
      </c>
      <c r="E12" s="2">
        <f t="shared" si="2"/>
        <v>1007.3713814959765</v>
      </c>
      <c r="F12" s="2">
        <f t="shared" si="1"/>
        <v>1007.3713814959765</v>
      </c>
      <c r="G12" s="1">
        <f>G11*(1-A13)*(1-data!K11)</f>
        <v>0.53033598528074077</v>
      </c>
      <c r="H12" s="10">
        <f>(A14+data!K12*(1-A14))*G12</f>
        <v>3.617184655639314E-2</v>
      </c>
      <c r="I12" s="2">
        <f>data!$G12*$H12*E13+I11</f>
        <v>511.78747955171156</v>
      </c>
      <c r="J12" s="2">
        <f>data!$G12*$H12*F13+J11</f>
        <v>500.29460964025424</v>
      </c>
      <c r="K12" s="2">
        <f>data!$G12*$H12*E13*data!$D12+K11</f>
        <v>2838.8145983172171</v>
      </c>
      <c r="L12" s="2">
        <f>data!$G12*$H12*F13*data!$D12+L11</f>
        <v>2794.8315066757013</v>
      </c>
    </row>
    <row r="13" spans="1:18" x14ac:dyDescent="0.3">
      <c r="A13" s="30">
        <f>data!J11*1.15</f>
        <v>1.8159868499999999E-2</v>
      </c>
      <c r="B13" s="2">
        <f>B14*EXP(-(data!F13+$A$2))</f>
        <v>871.34306360641722</v>
      </c>
      <c r="C13" s="2">
        <f>C12*EXP(data!F12-0.5*data!$B$7^2)</f>
        <v>178.37951637864273</v>
      </c>
      <c r="D13" s="2">
        <f t="shared" si="0"/>
        <v>1049.7225799850598</v>
      </c>
      <c r="E13" s="2">
        <f t="shared" si="2"/>
        <v>1018.5770349297509</v>
      </c>
      <c r="F13" s="2">
        <f t="shared" si="1"/>
        <v>1018.5770349297509</v>
      </c>
      <c r="G13" s="1">
        <f>G12*(1-A14)*(1-data!K12)</f>
        <v>0.49416413872434761</v>
      </c>
      <c r="H13" s="10">
        <f>(A15+data!K13*(1-A15))*G13</f>
        <v>3.453403296215047E-2</v>
      </c>
      <c r="I13" s="2">
        <f>data!$G13*$H13*E14+I12</f>
        <v>546.77175223173356</v>
      </c>
      <c r="J13" s="2">
        <f>data!$G13*$H13*F14+J12</f>
        <v>535.27888232027624</v>
      </c>
      <c r="K13" s="2">
        <f>data!$G13*$H13*E14*data!$D13+K12</f>
        <v>3258.6258704774805</v>
      </c>
      <c r="L13" s="2">
        <f>data!$G13*$H13*F14*data!$D13+L12</f>
        <v>3214.6427788359647</v>
      </c>
    </row>
    <row r="14" spans="1:18" x14ac:dyDescent="0.3">
      <c r="A14" s="30">
        <f>data!J12*1.15</f>
        <v>1.9163715000000001E-2</v>
      </c>
      <c r="B14" s="2">
        <f>B15*EXP(-(data!F14+$A$2))</f>
        <v>884.8982087103542</v>
      </c>
      <c r="C14" s="2">
        <f>C13*EXP(data!F13-0.5*data!$B$7^2)</f>
        <v>177.89332255867487</v>
      </c>
      <c r="D14" s="2">
        <f t="shared" si="0"/>
        <v>1062.7915312690291</v>
      </c>
      <c r="E14" s="2">
        <f t="shared" si="2"/>
        <v>1031.2998538694774</v>
      </c>
      <c r="F14" s="2">
        <f t="shared" si="1"/>
        <v>1031.2998538694774</v>
      </c>
      <c r="G14" s="1">
        <f>G13*(1-A15)*(1-data!K13)</f>
        <v>0.45963010576219715</v>
      </c>
      <c r="H14" s="10">
        <f>(A16+data!K14*(1-A16))*G14</f>
        <v>3.3084620348372423E-2</v>
      </c>
      <c r="I14" s="2">
        <f>data!$G14*$H14*E15+I13</f>
        <v>580.41865077738044</v>
      </c>
      <c r="J14" s="2">
        <f>data!$G14*$H14*F15+J13</f>
        <v>568.92578086592312</v>
      </c>
      <c r="K14" s="2">
        <f>data!$G14*$H14*E15*data!$D14+K13</f>
        <v>3696.0355515708907</v>
      </c>
      <c r="L14" s="2">
        <f>data!$G14*$H14*F15*data!$D14+L13</f>
        <v>3652.0524599293749</v>
      </c>
    </row>
    <row r="15" spans="1:18" x14ac:dyDescent="0.3">
      <c r="A15" s="30">
        <f>data!J13*1.15</f>
        <v>2.0930241499999995E-2</v>
      </c>
      <c r="B15" s="2">
        <f>B16*EXP(-(data!F15+$A$2))</f>
        <v>898.64256264601602</v>
      </c>
      <c r="C15" s="2">
        <f>C14*EXP(data!F14-0.5*data!$B$7^2)</f>
        <v>177.40417729011031</v>
      </c>
      <c r="D15" s="2">
        <f t="shared" si="0"/>
        <v>1076.0467399361264</v>
      </c>
      <c r="E15" s="2">
        <f t="shared" si="2"/>
        <v>1044.1629939980555</v>
      </c>
      <c r="F15" s="2">
        <f t="shared" si="1"/>
        <v>1044.1629939980555</v>
      </c>
      <c r="G15" s="1">
        <f>G14*(1-A16)*(1-data!K14)</f>
        <v>0.4265454854138247</v>
      </c>
      <c r="H15" s="10">
        <f>(A17+data!K15*(1-A17))*G15</f>
        <v>3.1918697479292671E-2</v>
      </c>
      <c r="I15" s="2">
        <f>data!$G15*$H15*E16+I14</f>
        <v>613.00850405011329</v>
      </c>
      <c r="J15" s="2">
        <f>data!$G15*$H15*F16+J14</f>
        <v>601.51563413865597</v>
      </c>
      <c r="K15" s="2">
        <f>data!$G15*$H15*E16*data!$D15+K14</f>
        <v>4152.2934973891506</v>
      </c>
      <c r="L15" s="2">
        <f>data!$G15*$H15*F16*data!$D15+L14</f>
        <v>4108.3104057476348</v>
      </c>
    </row>
    <row r="16" spans="1:18" x14ac:dyDescent="0.3">
      <c r="A16" s="30">
        <f>data!J14*1.15</f>
        <v>2.3137861999999999E-2</v>
      </c>
      <c r="B16" s="2">
        <f>B17*EXP(-(data!F16+$A$2))</f>
        <v>912.94342782753324</v>
      </c>
      <c r="C16" s="2">
        <f>C15*EXP(data!F15-0.5*data!$B$7^2)</f>
        <v>176.98287708967209</v>
      </c>
      <c r="D16" s="2">
        <f t="shared" si="0"/>
        <v>1089.9263049172052</v>
      </c>
      <c r="E16" s="2">
        <f t="shared" si="2"/>
        <v>1057.6449027191215</v>
      </c>
      <c r="F16" s="2">
        <f t="shared" si="1"/>
        <v>1057.6449027191215</v>
      </c>
      <c r="G16" s="1">
        <f>G15*(1-A17)*(1-data!K15)</f>
        <v>0.39462678793453204</v>
      </c>
      <c r="H16" s="10">
        <f>(A18+data!K16*(1-A18))*G16</f>
        <v>3.0717392400610673E-2</v>
      </c>
      <c r="I16" s="2">
        <f>data!$G16*$H16*E17+I15</f>
        <v>644.49783260517734</v>
      </c>
      <c r="J16" s="2">
        <f>data!$G16*$H16*F17+J15</f>
        <v>633.00496269372002</v>
      </c>
      <c r="K16" s="2">
        <f>data!$G16*$H16*E17*data!$D16+K15</f>
        <v>4624.6334257151111</v>
      </c>
      <c r="L16" s="2">
        <f>data!$G16*$H16*F17*data!$D16+L15</f>
        <v>4580.6503340735953</v>
      </c>
    </row>
    <row r="17" spans="1:12" x14ac:dyDescent="0.3">
      <c r="A17" s="30">
        <f>data!J15*1.15</f>
        <v>2.6137579499999997E-2</v>
      </c>
      <c r="B17" s="2">
        <f>B18*EXP(-(data!F17+$A$2))</f>
        <v>928.09821275853972</v>
      </c>
      <c r="C17" s="2">
        <f>C16*EXP(data!F16-0.5*data!$B$7^2)</f>
        <v>176.68181317458851</v>
      </c>
      <c r="D17" s="2">
        <f t="shared" si="0"/>
        <v>1104.7800259331282</v>
      </c>
      <c r="E17" s="2">
        <f t="shared" si="2"/>
        <v>1072.0822367856119</v>
      </c>
      <c r="F17" s="2">
        <f t="shared" si="1"/>
        <v>1072.0822367856119</v>
      </c>
      <c r="G17" s="1">
        <f>G16*(1-A18)*(1-data!K16)</f>
        <v>0.36390939553392138</v>
      </c>
      <c r="H17" s="10">
        <f>(A19+data!K17*(1-A19))*G17</f>
        <v>2.9942190440305713E-2</v>
      </c>
      <c r="I17" s="2">
        <f>data!$G17*$H17*E18+I16</f>
        <v>675.31474058913636</v>
      </c>
      <c r="J17" s="2">
        <f>data!$G17*$H17*F18+J16</f>
        <v>663.82187067767904</v>
      </c>
      <c r="K17" s="2">
        <f>data!$G17*$H17*E18*data!$D17+K16</f>
        <v>5117.7039534584546</v>
      </c>
      <c r="L17" s="2">
        <f>data!$G17*$H17*F18*data!$D17+L16</f>
        <v>5073.7208618169389</v>
      </c>
    </row>
    <row r="18" spans="1:12" x14ac:dyDescent="0.3">
      <c r="A18" s="30">
        <f>data!J16*1.15</f>
        <v>2.9304311499999996E-2</v>
      </c>
      <c r="B18" s="2">
        <f>B19*EXP(-(data!F18+$A$2))</f>
        <v>941.6793097841371</v>
      </c>
      <c r="C18" s="2">
        <f>C17*EXP(data!F17-0.5*data!$B$7^2)</f>
        <v>176.04004315509536</v>
      </c>
      <c r="D18" s="2">
        <f t="shared" si="0"/>
        <v>1117.7193529392325</v>
      </c>
      <c r="E18" s="2">
        <f t="shared" si="2"/>
        <v>1084.5759521612388</v>
      </c>
      <c r="F18" s="2">
        <f t="shared" si="1"/>
        <v>1084.5759521612388</v>
      </c>
      <c r="G18" s="1">
        <f>G17*(1-A19)*(1-data!K17)</f>
        <v>0.33396720509361566</v>
      </c>
      <c r="H18" s="10">
        <f>(A20+data!K18*(1-A20))*G18</f>
        <v>2.8567889500783449E-2</v>
      </c>
      <c r="I18" s="2">
        <f>data!$G18*$H18*E19+I17</f>
        <v>704.83634382832633</v>
      </c>
      <c r="J18" s="2">
        <f>data!$G18*$H18*F19+J17</f>
        <v>693.34347391686902</v>
      </c>
      <c r="K18" s="2">
        <f>data!$G18*$H18*E19*data!$D18+K17</f>
        <v>5619.5712085246832</v>
      </c>
      <c r="L18" s="2">
        <f>data!$G18*$H18*F19*data!$D18+L17</f>
        <v>5575.5881168831675</v>
      </c>
    </row>
    <row r="19" spans="1:12" x14ac:dyDescent="0.3">
      <c r="A19" s="30">
        <f>data!J17*1.15</f>
        <v>3.3978152999999997E-2</v>
      </c>
      <c r="B19" s="2">
        <f>B20*EXP(-(data!F19+$A$2))</f>
        <v>954.39223276911173</v>
      </c>
      <c r="C19" s="2">
        <f>C18*EXP(data!F18-0.5*data!$B$7^2)</f>
        <v>175.20474387499587</v>
      </c>
      <c r="D19" s="2">
        <f t="shared" si="0"/>
        <v>1129.5969766441076</v>
      </c>
      <c r="E19" s="2">
        <f t="shared" si="2"/>
        <v>1096.0653960559307</v>
      </c>
      <c r="F19" s="2">
        <f t="shared" si="1"/>
        <v>1096.0653960559307</v>
      </c>
      <c r="G19" s="1">
        <f>G18*(1-A20)*(1-data!K18)</f>
        <v>0.30539931559283218</v>
      </c>
      <c r="H19" s="10">
        <f>(A21+data!K19*(1-A21))*G19</f>
        <v>2.7178994126069361E-2</v>
      </c>
      <c r="I19" s="2">
        <f>data!$G19*$H19*E20+I18</f>
        <v>733.03884988513698</v>
      </c>
      <c r="J19" s="2">
        <f>data!$G19*$H19*F20+J18</f>
        <v>721.54597997367966</v>
      </c>
      <c r="K19" s="2">
        <f>data!$G19*$H19*E20*data!$D19+K18</f>
        <v>6127.2163175472742</v>
      </c>
      <c r="L19" s="2">
        <f>data!$G19*$H19*F20*data!$D19+L18</f>
        <v>6083.2332259057584</v>
      </c>
    </row>
    <row r="20" spans="1:12" x14ac:dyDescent="0.3">
      <c r="A20" s="30">
        <f>data!J18*1.15</f>
        <v>3.7411581499999999E-2</v>
      </c>
      <c r="B20" s="2">
        <f>B21*EXP(-(data!F20+$A$2))</f>
        <v>967.46903157777763</v>
      </c>
      <c r="C20" s="2">
        <f>C19*EXP(data!F19-0.5*data!$B$7^2)</f>
        <v>174.40806505977133</v>
      </c>
      <c r="D20" s="2">
        <f t="shared" si="0"/>
        <v>1141.8770966375489</v>
      </c>
      <c r="E20" s="2">
        <f t="shared" si="2"/>
        <v>1107.9891873382257</v>
      </c>
      <c r="F20" s="2">
        <f t="shared" si="1"/>
        <v>1107.9891873382257</v>
      </c>
      <c r="G20" s="1">
        <f>G19*(1-A21)*(1-data!K19)</f>
        <v>0.27822032146676284</v>
      </c>
      <c r="H20" s="10">
        <f>(A22+data!K20*(1-A22))*G20</f>
        <v>2.5844566146220861E-2</v>
      </c>
      <c r="I20" s="2">
        <f>data!$G20*$H20*E21+I19</f>
        <v>759.96996533037066</v>
      </c>
      <c r="J20" s="2">
        <f>data!$G20*$H20*F21+J19</f>
        <v>748.47709541891334</v>
      </c>
      <c r="K20" s="2">
        <f>data!$G20*$H20*E21*data!$D20+K19</f>
        <v>6638.9075110067133</v>
      </c>
      <c r="L20" s="2">
        <f>data!$G20*$H20*F21*data!$D20+L19</f>
        <v>6594.9244193651975</v>
      </c>
    </row>
    <row r="21" spans="1:12" x14ac:dyDescent="0.3">
      <c r="A21" s="30">
        <f>data!J19*1.15</f>
        <v>4.1047306499999998E-2</v>
      </c>
      <c r="B21" s="2">
        <f>B22*EXP(-(data!F21+$A$2))</f>
        <v>982.37694602175327</v>
      </c>
      <c r="C21" s="2">
        <f>C20*EXP(data!F20-0.5*data!$B$7^2)</f>
        <v>173.90744738859118</v>
      </c>
      <c r="D21" s="2">
        <f t="shared" si="0"/>
        <v>1156.2843934103444</v>
      </c>
      <c r="E21" s="2">
        <f t="shared" si="2"/>
        <v>1122.0280805112179</v>
      </c>
      <c r="F21" s="2">
        <f t="shared" si="1"/>
        <v>1122.0280805112179</v>
      </c>
      <c r="G21" s="1">
        <f>G20*(1-A22)*(1-data!K20)</f>
        <v>0.25237575532054202</v>
      </c>
      <c r="H21" s="10">
        <f>(A23+data!K21*(1-A23))*G21</f>
        <v>2.4465064449551256E-2</v>
      </c>
      <c r="I21" s="2">
        <f>data!$G21*$H21*E22+I20</f>
        <v>785.57298308088946</v>
      </c>
      <c r="J21" s="2">
        <f>data!$G21*$H21*F22+J20</f>
        <v>774.08011316943214</v>
      </c>
      <c r="K21" s="2">
        <f>data!$G21*$H21*E22*data!$D21+K20</f>
        <v>7150.9678660170903</v>
      </c>
      <c r="L21" s="2">
        <f>data!$G21*$H21*F22*data!$D21+L20</f>
        <v>7106.9847743755745</v>
      </c>
    </row>
    <row r="22" spans="1:12" x14ac:dyDescent="0.3">
      <c r="A22" s="30">
        <f>data!J20*1.15</f>
        <v>4.5149942999999998E-2</v>
      </c>
      <c r="B22" s="2">
        <f>data!B4</f>
        <v>1000</v>
      </c>
      <c r="C22" s="2">
        <f>C21*EXP(data!F21-0.5*data!$B$7^2)</f>
        <v>173.84033303342181</v>
      </c>
      <c r="D22" s="2">
        <f t="shared" si="0"/>
        <v>1173.8403330334218</v>
      </c>
      <c r="E22" s="2">
        <f t="shared" si="2"/>
        <v>1139.1518012311114</v>
      </c>
      <c r="F22" s="2">
        <f t="shared" si="1"/>
        <v>1139.1518012311114</v>
      </c>
      <c r="G22" s="1">
        <f>G21*(1-A23)*(1-data!K21)</f>
        <v>0.22791069087099075</v>
      </c>
      <c r="H22" s="10"/>
      <c r="I22" s="8">
        <f>data!$G21*$G22*E22+I21</f>
        <v>1024.0845748216593</v>
      </c>
      <c r="J22" s="8">
        <f>data!$G21*$G22*F22+J21</f>
        <v>1012.5917049102019</v>
      </c>
      <c r="K22" s="2">
        <f>data!$G21*$G22*E22*data!$D21+K21</f>
        <v>11921.199700832485</v>
      </c>
      <c r="L22" s="2">
        <f>data!$G21*$G22*F22*data!$D21+L21</f>
        <v>11877.216609190969</v>
      </c>
    </row>
    <row r="23" spans="1:12" x14ac:dyDescent="0.3">
      <c r="A23" s="31">
        <f>data!J21*1.15</f>
        <v>4.9409519999999992E-2</v>
      </c>
      <c r="K23" s="6">
        <f>K22/I22</f>
        <v>11.640835136012589</v>
      </c>
      <c r="L23" s="7">
        <f>L22/J22</f>
        <v>11.729521930306804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4759-F7B5-4FD4-B35F-C9D22232CD49}">
  <dimension ref="A1:R23"/>
  <sheetViews>
    <sheetView workbookViewId="0">
      <selection activeCell="A3" sqref="A3:A23"/>
    </sheetView>
  </sheetViews>
  <sheetFormatPr defaultRowHeight="14.4" x14ac:dyDescent="0.3"/>
  <sheetData>
    <row r="1" spans="1:18" x14ac:dyDescent="0.3">
      <c r="A1" s="12" t="s">
        <v>12</v>
      </c>
      <c r="B1" s="12" t="s">
        <v>11</v>
      </c>
      <c r="C1" s="12" t="s">
        <v>13</v>
      </c>
      <c r="D1" s="12" t="s">
        <v>16</v>
      </c>
      <c r="E1" s="12" t="s">
        <v>17</v>
      </c>
      <c r="F1" s="12" t="s">
        <v>18</v>
      </c>
      <c r="G1" s="12" t="s">
        <v>19</v>
      </c>
      <c r="H1" s="13" t="s">
        <v>20</v>
      </c>
      <c r="I1" s="12" t="s">
        <v>26</v>
      </c>
      <c r="J1" s="12" t="s">
        <v>27</v>
      </c>
      <c r="K1" s="12" t="s">
        <v>22</v>
      </c>
      <c r="L1" s="13" t="s">
        <v>23</v>
      </c>
      <c r="M1" s="28" t="s">
        <v>24</v>
      </c>
      <c r="N1" s="29" t="s">
        <v>25</v>
      </c>
      <c r="O1" s="14" t="s">
        <v>29</v>
      </c>
      <c r="P1" s="14" t="s">
        <v>28</v>
      </c>
      <c r="Q1" s="14" t="s">
        <v>30</v>
      </c>
      <c r="R1" s="29" t="s">
        <v>31</v>
      </c>
    </row>
    <row r="2" spans="1:18" x14ac:dyDescent="0.3">
      <c r="A2" s="1">
        <f>-LN(data!B3/data!B4)/data!B5-LN(1+data!E21)</f>
        <v>6.9161833084558722E-3</v>
      </c>
      <c r="B2" s="2">
        <f>B3*EXP(-(data!F2+$A$2))</f>
        <v>800.00000000000068</v>
      </c>
      <c r="C2" s="2">
        <f>data!B6</f>
        <v>200</v>
      </c>
      <c r="D2" s="2">
        <f>B2+C2</f>
        <v>1000.0000000000007</v>
      </c>
      <c r="G2">
        <v>1</v>
      </c>
      <c r="H2" s="10">
        <f>(data!J2+A4*(1-data!J2))*G2</f>
        <v>8.104714125000001E-2</v>
      </c>
      <c r="I2" s="2">
        <f>data!$G2*$H2*E3</f>
        <v>81.507659526323749</v>
      </c>
      <c r="J2" s="2">
        <f>data!$G2*$H2*F3</f>
        <v>78.870561113438654</v>
      </c>
      <c r="K2" s="2">
        <f>data!$G2*$H2*E3*data!$D2</f>
        <v>81.507659526323749</v>
      </c>
      <c r="L2" s="2">
        <f>data!$G2*$H2*F3*data!$D2</f>
        <v>78.870561113438654</v>
      </c>
      <c r="M2" s="6">
        <f>$D2-I22</f>
        <v>-20.394650588752256</v>
      </c>
      <c r="N2" s="7">
        <f>$D2-J22</f>
        <v>-5.4363838712637289</v>
      </c>
      <c r="O2" s="2">
        <f>plain_case!M2-M2</f>
        <v>-4.1043407183492491</v>
      </c>
      <c r="P2" s="2">
        <f>plain_case!N2-N2</f>
        <v>-7.7712456696395975</v>
      </c>
      <c r="Q2" s="6">
        <f>MAX(O2,0)</f>
        <v>0</v>
      </c>
      <c r="R2" s="7">
        <f>MAX(P2,0)</f>
        <v>0</v>
      </c>
    </row>
    <row r="3" spans="1:18" x14ac:dyDescent="0.3">
      <c r="A3" s="22" t="s">
        <v>8</v>
      </c>
      <c r="B3" s="2">
        <f>B4*EXP(-(data!F3+$A$2))</f>
        <v>801.00075476775532</v>
      </c>
      <c r="C3" s="2">
        <f>C2*EXP(data!F2-0.5*data!$B$7^2)</f>
        <v>196.64525018183591</v>
      </c>
      <c r="D3" s="2">
        <f t="shared" ref="D3:D22" si="0">B3+C3</f>
        <v>997.6460049495912</v>
      </c>
      <c r="E3" s="2">
        <f>MAX(F3,1000)</f>
        <v>1000</v>
      </c>
      <c r="F3" s="2">
        <f t="shared" ref="F3:F22" si="1">D3-D2*0.03</f>
        <v>967.6460049495912</v>
      </c>
      <c r="G3" s="1">
        <f>G2*(1-data!J2)*(1-A4)</f>
        <v>0.9189528587500001</v>
      </c>
      <c r="H3" s="10">
        <f>(data!J3+A5*(1-data!J3))*G3</f>
        <v>7.5089555713340514E-2</v>
      </c>
      <c r="I3" s="2">
        <f>data!$G3*$H3*E4+I2</f>
        <v>157.42243139451614</v>
      </c>
      <c r="J3" s="2">
        <f>data!$G3*$H3*F4+J2</f>
        <v>152.19061130334791</v>
      </c>
      <c r="K3" s="2">
        <f>data!$G3*$H3*E4*data!$D3+K2</f>
        <v>233.33720326270853</v>
      </c>
      <c r="L3" s="2">
        <f>data!$G3*$H3*F4*data!$D3+L2</f>
        <v>225.51066149325715</v>
      </c>
    </row>
    <row r="4" spans="1:18" x14ac:dyDescent="0.3">
      <c r="A4" s="32">
        <f>MIN(1.5*data!K2,1)</f>
        <v>7.5000000000000011E-2</v>
      </c>
      <c r="B4" s="2">
        <f>B5*EXP(-(data!F4+$A$2))</f>
        <v>802.32541779862527</v>
      </c>
      <c r="C4" s="2">
        <f>C3*EXP(data!F3-0.5*data!$B$7^2)</f>
        <v>193.42455807281033</v>
      </c>
      <c r="D4" s="2">
        <f t="shared" si="0"/>
        <v>995.74997587143559</v>
      </c>
      <c r="E4" s="2">
        <f t="shared" ref="E4:E22" si="2">MAX(F4,1000)</f>
        <v>1000</v>
      </c>
      <c r="F4" s="2">
        <f t="shared" si="1"/>
        <v>965.82059572294781</v>
      </c>
      <c r="G4" s="1">
        <f>G3*(1-data!J3)*(1-A5)</f>
        <v>0.84386330303665957</v>
      </c>
      <c r="H4" s="10">
        <f>(data!J4+A6*(1-data!J4))*G4</f>
        <v>6.9511199970041404E-2</v>
      </c>
      <c r="I4" s="2">
        <f>data!$G4*$H4*E5+I3</f>
        <v>227.97617681184215</v>
      </c>
      <c r="J4" s="2">
        <f>data!$G4*$H4*F5+J3</f>
        <v>220.29868178932691</v>
      </c>
      <c r="K4" s="2">
        <f>data!$G4*$H4*E5*data!$D4+K3</f>
        <v>444.99843951468654</v>
      </c>
      <c r="L4" s="2">
        <f>data!$G4*$H4*F5*data!$D4+L3</f>
        <v>429.83487295119409</v>
      </c>
    </row>
    <row r="5" spans="1:18" x14ac:dyDescent="0.3">
      <c r="A5" s="32">
        <f>MIN(1.5*data!K3,1)</f>
        <v>7.5000000000000011E-2</v>
      </c>
      <c r="B5" s="2">
        <f>B6*EXP(-(data!F5+$A$2))</f>
        <v>804.70311013269441</v>
      </c>
      <c r="C5" s="2">
        <f>C4*EXP(data!F4-0.5*data!$B$7^2)</f>
        <v>190.50539055796133</v>
      </c>
      <c r="D5" s="2">
        <f t="shared" si="0"/>
        <v>995.20850069065568</v>
      </c>
      <c r="E5" s="2">
        <f t="shared" si="2"/>
        <v>1000</v>
      </c>
      <c r="F5" s="2">
        <f t="shared" si="1"/>
        <v>965.33600141451257</v>
      </c>
      <c r="G5" s="1">
        <f>G4*(1-data!J4)*(1-A6)</f>
        <v>0.77435210306661828</v>
      </c>
      <c r="H5" s="10">
        <f>(data!J5+A7*(1-data!J5))*G5</f>
        <v>6.426300984024394E-2</v>
      </c>
      <c r="I5" s="2">
        <f>data!$G5*$H5*E6+I4</f>
        <v>293.377511888409</v>
      </c>
      <c r="J5" s="2">
        <f>data!$G5*$H5*F6+J4</f>
        <v>283.48561689330518</v>
      </c>
      <c r="K5" s="2">
        <f>data!$G5*$H5*E6*data!$D5+K4</f>
        <v>706.60377982095406</v>
      </c>
      <c r="L5" s="2">
        <f>data!$G5*$H5*F6*data!$D5+L4</f>
        <v>682.58261336710723</v>
      </c>
    </row>
    <row r="6" spans="1:18" x14ac:dyDescent="0.3">
      <c r="A6" s="32">
        <f>MIN(1.5*data!K4,1)</f>
        <v>7.5000000000000011E-2</v>
      </c>
      <c r="B6" s="2">
        <f>B7*EXP(-(data!F6+$A$2))</f>
        <v>808.12599413125622</v>
      </c>
      <c r="C6" s="2">
        <f>C5*EXP(data!F5-0.5*data!$B$7^2)</f>
        <v>187.87162528216035</v>
      </c>
      <c r="D6" s="2">
        <f t="shared" si="0"/>
        <v>995.9976194134166</v>
      </c>
      <c r="E6" s="2">
        <f t="shared" si="2"/>
        <v>1000</v>
      </c>
      <c r="F6" s="2">
        <f t="shared" si="1"/>
        <v>966.14136439269691</v>
      </c>
      <c r="G6" s="1">
        <f>G5*(1-data!J5)*(1-A7)</f>
        <v>0.71008909322637437</v>
      </c>
      <c r="H6" s="10">
        <f>(data!J6+A8*(1-data!J6))*G6</f>
        <v>5.9473791245710908E-2</v>
      </c>
      <c r="I6" s="2">
        <f>data!$G6*$H6*E7+I5</f>
        <v>353.92133741378456</v>
      </c>
      <c r="J6" s="2">
        <f>data!$G6*$H6*F7+J5</f>
        <v>342.17385855397197</v>
      </c>
      <c r="K6" s="2">
        <f>data!$G6*$H6*E7*data!$D6+K5</f>
        <v>1009.3229074478318</v>
      </c>
      <c r="L6" s="2">
        <f>data!$G6*$H6*F7*data!$D6+L5</f>
        <v>976.02382167044129</v>
      </c>
    </row>
    <row r="7" spans="1:18" x14ac:dyDescent="0.3">
      <c r="A7" s="32">
        <f>MIN(1.5*data!K5,1)</f>
        <v>7.5000000000000011E-2</v>
      </c>
      <c r="B7" s="2">
        <f>B8*EXP(-(data!F7+$A$2))</f>
        <v>813.51216854853408</v>
      </c>
      <c r="C7" s="2">
        <f>C6*EXP(data!F6-0.5*data!$B$7^2)</f>
        <v>185.71915386128686</v>
      </c>
      <c r="D7" s="2">
        <f t="shared" si="0"/>
        <v>999.2313224098209</v>
      </c>
      <c r="E7" s="2">
        <f t="shared" si="2"/>
        <v>1000</v>
      </c>
      <c r="F7" s="2">
        <f t="shared" si="1"/>
        <v>969.35139382741841</v>
      </c>
      <c r="G7" s="1">
        <f>G6*(1-data!J6)*(1-A8)</f>
        <v>0.65061530198066353</v>
      </c>
      <c r="H7" s="10">
        <f>(data!J7+A9*(1-data!J7))*G7</f>
        <v>5.5118275919383258E-2</v>
      </c>
      <c r="I7" s="2">
        <f>data!$G7*$H7*E8+I6</f>
        <v>409.96125453112711</v>
      </c>
      <c r="J7" s="2">
        <f>data!$G7*$H7*F8+J6</f>
        <v>396.76098535938854</v>
      </c>
      <c r="K7" s="2">
        <f>data!$G7*$H7*E8*data!$D7+K6</f>
        <v>1345.5624101518872</v>
      </c>
      <c r="L7" s="2">
        <f>data!$G7*$H7*F8*data!$D7+L6</f>
        <v>1303.5465825029405</v>
      </c>
    </row>
    <row r="8" spans="1:18" x14ac:dyDescent="0.3">
      <c r="A8" s="32">
        <f>MIN(1.5*data!K6,1)</f>
        <v>7.5000000000000011E-2</v>
      </c>
      <c r="B8" s="2">
        <f>B9*EXP(-(data!F8+$A$2))</f>
        <v>820.18172583944408</v>
      </c>
      <c r="C8" s="2">
        <f>C7*EXP(data!F7-0.5*data!$B$7^2)</f>
        <v>183.87100861170401</v>
      </c>
      <c r="D8" s="2">
        <f t="shared" si="0"/>
        <v>1004.0527344511481</v>
      </c>
      <c r="E8" s="2">
        <f t="shared" si="2"/>
        <v>1000</v>
      </c>
      <c r="F8" s="2">
        <f t="shared" si="1"/>
        <v>974.07579477885349</v>
      </c>
      <c r="G8" s="1">
        <f>G7*(1-data!J7)*(1-A9)</f>
        <v>0.59549702606128019</v>
      </c>
      <c r="H8" s="10">
        <f>(data!J8+A10*(1-data!J8))*G8</f>
        <v>5.1039301861699082E-2</v>
      </c>
      <c r="I8" s="2">
        <f>data!$G8*$H8*E9+I7</f>
        <v>461.74991027071951</v>
      </c>
      <c r="J8" s="2">
        <f>data!$G8*$H8*F9+J7</f>
        <v>447.49271664035297</v>
      </c>
      <c r="K8" s="2">
        <f>data!$G8*$H8*E9*data!$D8+K7</f>
        <v>1708.0830003290343</v>
      </c>
      <c r="L8" s="2">
        <f>data!$G8*$H8*F9*data!$D8+L7</f>
        <v>1658.6687014696915</v>
      </c>
    </row>
    <row r="9" spans="1:18" x14ac:dyDescent="0.3">
      <c r="A9" s="32">
        <f>MIN(1.5*data!K7,1)</f>
        <v>7.5000000000000011E-2</v>
      </c>
      <c r="B9" s="2">
        <f>B10*EXP(-(data!F9+$A$2))</f>
        <v>827.53371315724314</v>
      </c>
      <c r="C9" s="2">
        <f>C8*EXP(data!F8-0.5*data!$B$7^2)</f>
        <v>182.17945233150778</v>
      </c>
      <c r="D9" s="2">
        <f t="shared" si="0"/>
        <v>1009.713165488751</v>
      </c>
      <c r="E9" s="2">
        <f t="shared" si="2"/>
        <v>1000</v>
      </c>
      <c r="F9" s="2">
        <f t="shared" si="1"/>
        <v>979.59158345521655</v>
      </c>
      <c r="G9" s="1">
        <f>G8*(1-data!J8)*(1-A10)</f>
        <v>0.54445772419958105</v>
      </c>
      <c r="H9" s="10">
        <f>(data!J9+A11*(1-data!J9))*G9</f>
        <v>4.7331474007695995E-2</v>
      </c>
      <c r="I9" s="2">
        <f>data!$G9*$H9*E10+I8</f>
        <v>509.5229220634393</v>
      </c>
      <c r="J9" s="2">
        <f>data!$G9*$H9*F10+J8</f>
        <v>494.71643005274592</v>
      </c>
      <c r="K9" s="2">
        <f>data!$G9*$H9*E10*data!$D9+K8</f>
        <v>2090.2670946707922</v>
      </c>
      <c r="L9" s="2">
        <f>data!$G9*$H9*F10*data!$D9+L8</f>
        <v>2036.4584087688352</v>
      </c>
    </row>
    <row r="10" spans="1:18" x14ac:dyDescent="0.3">
      <c r="A10" s="32">
        <f>MIN(1.5*data!K8,1)</f>
        <v>7.5000000000000011E-2</v>
      </c>
      <c r="B10" s="2">
        <f>B11*EXP(-(data!F10+$A$2))</f>
        <v>837.69645352899374</v>
      </c>
      <c r="C10" s="2">
        <f>C9*EXP(data!F9-0.5*data!$B$7^2)</f>
        <v>181.0968516206469</v>
      </c>
      <c r="D10" s="2">
        <f t="shared" si="0"/>
        <v>1018.7933051496407</v>
      </c>
      <c r="E10" s="2">
        <f t="shared" si="2"/>
        <v>1000</v>
      </c>
      <c r="F10" s="2">
        <f t="shared" si="1"/>
        <v>988.5019101849781</v>
      </c>
      <c r="G10" s="1">
        <f>G9*(1-data!J9)*(1-A11)</f>
        <v>0.49712625019188511</v>
      </c>
      <c r="H10" s="10">
        <f>(data!J10+A12*(1-data!J10))*G10</f>
        <v>4.3796127286562625E-2</v>
      </c>
      <c r="I10" s="2">
        <f>data!$G10*$H10*E11+I9</f>
        <v>553.53247436113452</v>
      </c>
      <c r="J10" s="2">
        <f>data!$G10*$H10*F11+J9</f>
        <v>538.57420764364599</v>
      </c>
      <c r="K10" s="2">
        <f>data!$G10*$H10*E11*data!$D10+K9</f>
        <v>2486.3530653500493</v>
      </c>
      <c r="L10" s="2">
        <f>data!$G10*$H10*F11*data!$D10+L9</f>
        <v>2431.1784070869357</v>
      </c>
    </row>
    <row r="11" spans="1:18" x14ac:dyDescent="0.3">
      <c r="A11" s="32">
        <f>MIN(1.5*data!K9,1)</f>
        <v>7.5000000000000011E-2</v>
      </c>
      <c r="B11" s="2">
        <f>B12*EXP(-(data!F11+$A$2))</f>
        <v>847.2502154423895</v>
      </c>
      <c r="C11" s="2">
        <f>C10*EXP(data!F10-0.5*data!$B$7^2)</f>
        <v>179.86490725730363</v>
      </c>
      <c r="D11" s="2">
        <f t="shared" si="0"/>
        <v>1027.1151226996931</v>
      </c>
      <c r="E11" s="2">
        <f t="shared" si="2"/>
        <v>1000</v>
      </c>
      <c r="F11" s="2">
        <f t="shared" si="1"/>
        <v>996.5513235452039</v>
      </c>
      <c r="G11" s="1">
        <f>G10*(1-data!J10)*(1-A12)</f>
        <v>0.45333012290532254</v>
      </c>
      <c r="H11" s="10">
        <f>(data!J11+A13*(1-data!J11))*G11</f>
        <v>4.06214846636564E-2</v>
      </c>
      <c r="I11" s="2">
        <f>data!$G11*$H11*E12+I10</f>
        <v>594.36756072119715</v>
      </c>
      <c r="J11" s="2">
        <f>data!$G11*$H11*F12+J10</f>
        <v>579.40929400370862</v>
      </c>
      <c r="K11" s="2">
        <f>data!$G11*$H11*E12*data!$D11+K10</f>
        <v>2894.7039289506752</v>
      </c>
      <c r="L11" s="2">
        <f>data!$G11*$H11*F12*data!$D11+L10</f>
        <v>2839.5292706875616</v>
      </c>
    </row>
    <row r="12" spans="1:18" x14ac:dyDescent="0.3">
      <c r="A12" s="32">
        <f>MIN(1.5*data!K10,1)</f>
        <v>7.5000000000000011E-2</v>
      </c>
      <c r="B12" s="2">
        <f>B13*EXP(-(data!F12+$A$2))</f>
        <v>859.08970000200384</v>
      </c>
      <c r="C12" s="2">
        <f>C11*EXP(data!F11-0.5*data!$B$7^2)</f>
        <v>179.09513517496339</v>
      </c>
      <c r="D12" s="2">
        <f t="shared" si="0"/>
        <v>1038.1848351769672</v>
      </c>
      <c r="E12" s="2">
        <f t="shared" si="2"/>
        <v>1007.3713814959765</v>
      </c>
      <c r="F12" s="2">
        <f t="shared" si="1"/>
        <v>1007.3713814959765</v>
      </c>
      <c r="G12" s="1">
        <f>G11*(1-data!J11)*(1-A13)</f>
        <v>0.41270863824166615</v>
      </c>
      <c r="H12" s="10">
        <f>(data!J12+A14*(1-data!J12))*G12</f>
        <v>3.7314759535258694E-2</v>
      </c>
      <c r="I12" s="2">
        <f>data!$G12*$H12*E13+I11</f>
        <v>632.02194920214163</v>
      </c>
      <c r="J12" s="2">
        <f>data!$G12*$H12*F13+J11</f>
        <v>617.0636824846531</v>
      </c>
      <c r="K12" s="2">
        <f>data!$G12*$H12*E13*data!$D12+K11</f>
        <v>3308.9022022410645</v>
      </c>
      <c r="L12" s="2">
        <f>data!$G12*$H12*F13*data!$D12+L11</f>
        <v>3253.727543977951</v>
      </c>
    </row>
    <row r="13" spans="1:18" x14ac:dyDescent="0.3">
      <c r="A13" s="32">
        <f>MIN(1.5*data!K11,1)</f>
        <v>7.5000000000000011E-2</v>
      </c>
      <c r="B13" s="2">
        <f>B14*EXP(-(data!F13+$A$2))</f>
        <v>871.34306360641722</v>
      </c>
      <c r="C13" s="2">
        <f>C12*EXP(data!F12-0.5*data!$B$7^2)</f>
        <v>178.37951637864273</v>
      </c>
      <c r="D13" s="2">
        <f t="shared" si="0"/>
        <v>1049.7225799850598</v>
      </c>
      <c r="E13" s="2">
        <f t="shared" si="2"/>
        <v>1018.5770349297509</v>
      </c>
      <c r="F13" s="2">
        <f t="shared" si="1"/>
        <v>1018.5770349297509</v>
      </c>
      <c r="G13" s="1">
        <f>G12*(1-data!J12)*(1-A14)</f>
        <v>0.3753938787064075</v>
      </c>
      <c r="H13" s="10">
        <f>(data!J13+A15*(1-data!J13))*G13</f>
        <v>3.447436977126387E-2</v>
      </c>
      <c r="I13" s="2">
        <f>data!$G13*$H13*E14+I12</f>
        <v>666.94578082851592</v>
      </c>
      <c r="J13" s="2">
        <f>data!$G13*$H13*F14+J12</f>
        <v>651.98751411102739</v>
      </c>
      <c r="K13" s="2">
        <f>data!$G13*$H13*E14*data!$D13+K12</f>
        <v>3727.9881817575556</v>
      </c>
      <c r="L13" s="2">
        <f>data!$G13*$H13*F14*data!$D13+L12</f>
        <v>3672.8135234944421</v>
      </c>
    </row>
    <row r="14" spans="1:18" x14ac:dyDescent="0.3">
      <c r="A14" s="32">
        <f>MIN(1.5*data!K12,1)</f>
        <v>7.5000000000000011E-2</v>
      </c>
      <c r="B14" s="2">
        <f>B15*EXP(-(data!F14+$A$2))</f>
        <v>884.8982087103542</v>
      </c>
      <c r="C14" s="2">
        <f>C13*EXP(data!F13-0.5*data!$B$7^2)</f>
        <v>177.89332255867487</v>
      </c>
      <c r="D14" s="2">
        <f t="shared" si="0"/>
        <v>1062.7915312690291</v>
      </c>
      <c r="E14" s="2">
        <f t="shared" si="2"/>
        <v>1031.2998538694774</v>
      </c>
      <c r="F14" s="2">
        <f t="shared" si="1"/>
        <v>1031.2998538694774</v>
      </c>
      <c r="G14" s="1">
        <f>G13*(1-data!J13)*(1-A15)</f>
        <v>0.34091950893514361</v>
      </c>
      <c r="H14" s="10">
        <f>(data!J14+A16*(1-data!J14))*G14</f>
        <v>3.1913778308862238E-2</v>
      </c>
      <c r="I14" s="2">
        <f>data!$G14*$H14*E15+I13</f>
        <v>699.40193869460973</v>
      </c>
      <c r="J14" s="2">
        <f>data!$G14*$H14*F15+J13</f>
        <v>684.4436719771212</v>
      </c>
      <c r="K14" s="2">
        <f>data!$G14*$H14*E15*data!$D14+K13</f>
        <v>4149.9182340167754</v>
      </c>
      <c r="L14" s="2">
        <f>data!$G14*$H14*F15*data!$D14+L13</f>
        <v>4094.7435757536618</v>
      </c>
    </row>
    <row r="15" spans="1:18" x14ac:dyDescent="0.3">
      <c r="A15" s="32">
        <f>MIN(1.5*data!K13,1)</f>
        <v>7.5000000000000011E-2</v>
      </c>
      <c r="B15" s="2">
        <f>B16*EXP(-(data!F15+$A$2))</f>
        <v>898.64256264601602</v>
      </c>
      <c r="C15" s="2">
        <f>C14*EXP(data!F14-0.5*data!$B$7^2)</f>
        <v>177.40417729011031</v>
      </c>
      <c r="D15" s="2">
        <f t="shared" si="0"/>
        <v>1076.0467399361264</v>
      </c>
      <c r="E15" s="2">
        <f t="shared" si="2"/>
        <v>1044.1629939980555</v>
      </c>
      <c r="F15" s="2">
        <f t="shared" si="1"/>
        <v>1044.1629939980555</v>
      </c>
      <c r="G15" s="1">
        <f>G14*(1-data!J14)*(1-A16)</f>
        <v>0.30900573062628139</v>
      </c>
      <c r="H15" s="10">
        <f>(data!J15+A17*(1-data!J15))*G15</f>
        <v>2.9671875198218945E-2</v>
      </c>
      <c r="I15" s="2">
        <f>data!$G15*$H15*E16+I14</f>
        <v>729.69772565973074</v>
      </c>
      <c r="J15" s="2">
        <f>data!$G15*$H15*F16+J14</f>
        <v>714.73945894224221</v>
      </c>
      <c r="K15" s="2">
        <f>data!$G15*$H15*E16*data!$D15+K14</f>
        <v>4574.0592515284698</v>
      </c>
      <c r="L15" s="2">
        <f>data!$G15*$H15*F16*data!$D15+L14</f>
        <v>4518.8845932653567</v>
      </c>
    </row>
    <row r="16" spans="1:18" x14ac:dyDescent="0.3">
      <c r="A16" s="32">
        <f>MIN(1.5*data!K14,1)</f>
        <v>7.5000000000000011E-2</v>
      </c>
      <c r="B16" s="2">
        <f>B17*EXP(-(data!F16+$A$2))</f>
        <v>912.94342782753324</v>
      </c>
      <c r="C16" s="2">
        <f>C15*EXP(data!F15-0.5*data!$B$7^2)</f>
        <v>176.98287708967209</v>
      </c>
      <c r="D16" s="2">
        <f t="shared" si="0"/>
        <v>1089.9263049172052</v>
      </c>
      <c r="E16" s="2">
        <f t="shared" si="2"/>
        <v>1057.6449027191215</v>
      </c>
      <c r="F16" s="2">
        <f t="shared" si="1"/>
        <v>1057.6449027191215</v>
      </c>
      <c r="G16" s="1">
        <f>G15*(1-data!J15)*(1-A17)</f>
        <v>0.27933385542806249</v>
      </c>
      <c r="H16" s="10">
        <f>(data!J16+A18*(1-data!J16))*G16</f>
        <v>2.7534178147159402E-2</v>
      </c>
      <c r="I16" s="2">
        <f>data!$G16*$H16*E17+I15</f>
        <v>757.92384494947646</v>
      </c>
      <c r="J16" s="2">
        <f>data!$G16*$H16*F17+J15</f>
        <v>742.96557823198793</v>
      </c>
      <c r="K16" s="2">
        <f>data!$G16*$H16*E17*data!$D16+K15</f>
        <v>4997.4510408746564</v>
      </c>
      <c r="L16" s="2">
        <f>data!$G16*$H16*F17*data!$D16+L15</f>
        <v>4942.2763826115433</v>
      </c>
    </row>
    <row r="17" spans="1:12" x14ac:dyDescent="0.3">
      <c r="A17" s="32">
        <f>MIN(1.5*data!K15,1)</f>
        <v>7.5000000000000011E-2</v>
      </c>
      <c r="B17" s="2">
        <f>B18*EXP(-(data!F17+$A$2))</f>
        <v>928.09821275853972</v>
      </c>
      <c r="C17" s="2">
        <f>C16*EXP(data!F16-0.5*data!$B$7^2)</f>
        <v>176.68181317458851</v>
      </c>
      <c r="D17" s="2">
        <f t="shared" si="0"/>
        <v>1104.7800259331282</v>
      </c>
      <c r="E17" s="2">
        <f t="shared" si="2"/>
        <v>1072.0822367856119</v>
      </c>
      <c r="F17" s="2">
        <f t="shared" si="1"/>
        <v>1072.0822367856119</v>
      </c>
      <c r="G17" s="1">
        <f>G16*(1-data!J16)*(1-A18)</f>
        <v>0.25179967728090313</v>
      </c>
      <c r="H17" s="10">
        <f>(data!J17+A19*(1-data!J17))*G17</f>
        <v>2.576672480737301E-2</v>
      </c>
      <c r="I17" s="2">
        <f>data!$G17*$H17*E18+I16</f>
        <v>784.44330714513205</v>
      </c>
      <c r="J17" s="2">
        <f>data!$G17*$H17*F18+J16</f>
        <v>769.48504042764353</v>
      </c>
      <c r="K17" s="2">
        <f>data!$G17*$H17*E18*data!$D17+K16</f>
        <v>5421.7624360051459</v>
      </c>
      <c r="L17" s="2">
        <f>data!$G17*$H17*F18*data!$D17+L16</f>
        <v>5366.5877777420328</v>
      </c>
    </row>
    <row r="18" spans="1:12" x14ac:dyDescent="0.3">
      <c r="A18" s="32">
        <f>MIN(1.5*data!K16,1)</f>
        <v>7.5000000000000011E-2</v>
      </c>
      <c r="B18" s="2">
        <f>B19*EXP(-(data!F18+$A$2))</f>
        <v>941.6793097841371</v>
      </c>
      <c r="C18" s="2">
        <f>C17*EXP(data!F17-0.5*data!$B$7^2)</f>
        <v>176.04004315509536</v>
      </c>
      <c r="D18" s="2">
        <f t="shared" si="0"/>
        <v>1117.7193529392325</v>
      </c>
      <c r="E18" s="2">
        <f t="shared" si="2"/>
        <v>1084.5759521612388</v>
      </c>
      <c r="F18" s="2">
        <f t="shared" si="1"/>
        <v>1084.5759521612388</v>
      </c>
      <c r="G18" s="1">
        <f>G17*(1-data!J17)*(1-A19)</f>
        <v>0.22603295247353014</v>
      </c>
      <c r="H18" s="10">
        <f>(data!J18+A20*(1-data!J18))*G18</f>
        <v>2.3754237919352078E-2</v>
      </c>
      <c r="I18" s="2">
        <f>data!$G18*$H18*E19+I17</f>
        <v>808.99055929987037</v>
      </c>
      <c r="J18" s="2">
        <f>data!$G18*$H18*F19+J17</f>
        <v>794.03229258238184</v>
      </c>
      <c r="K18" s="2">
        <f>data!$G18*$H18*E19*data!$D18+K17</f>
        <v>5839.0657226356971</v>
      </c>
      <c r="L18" s="2">
        <f>data!$G18*$H18*F19*data!$D18+L17</f>
        <v>5783.891064372584</v>
      </c>
    </row>
    <row r="19" spans="1:12" x14ac:dyDescent="0.3">
      <c r="A19" s="32">
        <f>MIN(1.5*data!K17,1)</f>
        <v>7.5000000000000011E-2</v>
      </c>
      <c r="B19" s="2">
        <f>B20*EXP(-(data!F19+$A$2))</f>
        <v>954.39223276911173</v>
      </c>
      <c r="C19" s="2">
        <f>C18*EXP(data!F18-0.5*data!$B$7^2)</f>
        <v>175.20474387499587</v>
      </c>
      <c r="D19" s="2">
        <f t="shared" si="0"/>
        <v>1129.5969766441076</v>
      </c>
      <c r="E19" s="2">
        <f t="shared" si="2"/>
        <v>1096.0653960559307</v>
      </c>
      <c r="F19" s="2">
        <f t="shared" si="1"/>
        <v>1096.0653960559307</v>
      </c>
      <c r="G19" s="1">
        <f>G18*(1-data!J18)*(1-A20)</f>
        <v>0.20227871455417806</v>
      </c>
      <c r="H19" s="10">
        <f>(data!J19+A21*(1-data!J19))*G19</f>
        <v>2.1849400691673362E-2</v>
      </c>
      <c r="I19" s="2">
        <f>data!$G19*$H19*E20+I18</f>
        <v>831.66276903972789</v>
      </c>
      <c r="J19" s="2">
        <f>data!$G19*$H19*F20+J18</f>
        <v>816.70450232223936</v>
      </c>
      <c r="K19" s="2">
        <f>data!$G19*$H19*E20*data!$D19+K18</f>
        <v>6247.1654979531322</v>
      </c>
      <c r="L19" s="2">
        <f>data!$G19*$H19*F20*data!$D19+L18</f>
        <v>6191.9908396900191</v>
      </c>
    </row>
    <row r="20" spans="1:12" x14ac:dyDescent="0.3">
      <c r="A20" s="32">
        <f>MIN(1.5*data!K18,1)</f>
        <v>7.5000000000000011E-2</v>
      </c>
      <c r="B20" s="2">
        <f>B21*EXP(-(data!F20+$A$2))</f>
        <v>967.46903157777763</v>
      </c>
      <c r="C20" s="2">
        <f>C19*EXP(data!F19-0.5*data!$B$7^2)</f>
        <v>174.40806505977133</v>
      </c>
      <c r="D20" s="2">
        <f t="shared" si="0"/>
        <v>1141.8770966375489</v>
      </c>
      <c r="E20" s="2">
        <f t="shared" si="2"/>
        <v>1107.9891873382257</v>
      </c>
      <c r="F20" s="2">
        <f t="shared" si="1"/>
        <v>1107.9891873382257</v>
      </c>
      <c r="G20" s="1">
        <f>G19*(1-data!J19)*(1-A21)</f>
        <v>0.18042931386250471</v>
      </c>
      <c r="H20" s="10">
        <f>(data!J20+A22*(1-data!J20))*G20</f>
        <v>2.0084716142896211E-2</v>
      </c>
      <c r="I20" s="2">
        <f>data!$G20*$H20*E21+I19</f>
        <v>852.59188063977615</v>
      </c>
      <c r="J20" s="2">
        <f>data!$G20*$H20*F21+J19</f>
        <v>837.63361392228762</v>
      </c>
      <c r="K20" s="2">
        <f>data!$G20*$H20*E21*data!$D20+K19</f>
        <v>6644.8186183540492</v>
      </c>
      <c r="L20" s="2">
        <f>data!$G20*$H20*F21*data!$D20+L19</f>
        <v>6589.6439600909362</v>
      </c>
    </row>
    <row r="21" spans="1:12" x14ac:dyDescent="0.3">
      <c r="A21" s="32">
        <f>MIN(1.5*data!K19,1)</f>
        <v>7.5000000000000011E-2</v>
      </c>
      <c r="B21" s="2">
        <f>B22*EXP(-(data!F21+$A$2))</f>
        <v>982.37694602175327</v>
      </c>
      <c r="C21" s="2">
        <f>C20*EXP(data!F20-0.5*data!$B$7^2)</f>
        <v>173.90744738859118</v>
      </c>
      <c r="D21" s="2">
        <f t="shared" si="0"/>
        <v>1156.2843934103444</v>
      </c>
      <c r="E21" s="2">
        <f t="shared" si="2"/>
        <v>1122.0280805112179</v>
      </c>
      <c r="F21" s="2">
        <f t="shared" si="1"/>
        <v>1122.0280805112179</v>
      </c>
      <c r="G21" s="1">
        <f>G20*(1-data!J20)*(1-A22)</f>
        <v>0.16034459771960852</v>
      </c>
      <c r="H21" s="10">
        <f>(data!J21+A23*(1-data!J21))*G21</f>
        <v>1.8398330383166316E-2</v>
      </c>
      <c r="I21" s="2">
        <f>data!$G21*$H21*E22+I20</f>
        <v>871.84597990248039</v>
      </c>
      <c r="J21" s="2">
        <f>data!$G21*$H21*F22+J20</f>
        <v>856.88771318499187</v>
      </c>
      <c r="K21" s="2">
        <f>data!$G21*$H21*E22*data!$D21+K20</f>
        <v>7029.9006036081346</v>
      </c>
      <c r="L21" s="2">
        <f>data!$G21*$H21*F22*data!$D21+L20</f>
        <v>6974.7259453450215</v>
      </c>
    </row>
    <row r="22" spans="1:12" x14ac:dyDescent="0.3">
      <c r="A22" s="32">
        <f>MIN(1.5*data!K20,1)</f>
        <v>7.5000000000000011E-2</v>
      </c>
      <c r="B22" s="2">
        <f>data!B4</f>
        <v>1000</v>
      </c>
      <c r="C22" s="2">
        <f>C21*EXP(data!F21-0.5*data!$B$7^2)</f>
        <v>173.84033303342181</v>
      </c>
      <c r="D22" s="2">
        <f t="shared" si="0"/>
        <v>1173.8403330334218</v>
      </c>
      <c r="E22" s="2">
        <f t="shared" si="2"/>
        <v>1139.1518012311114</v>
      </c>
      <c r="F22" s="2">
        <f t="shared" si="1"/>
        <v>1139.1518012311114</v>
      </c>
      <c r="G22" s="1">
        <f>G21*(1-data!J21)*(1-A23)</f>
        <v>0.14194626733644219</v>
      </c>
      <c r="H22" s="10"/>
      <c r="I22" s="8">
        <f>data!$G21*$G22*E22+I21</f>
        <v>1020.3946505887529</v>
      </c>
      <c r="J22" s="8">
        <f>data!$G21*$G22*F22+J21</f>
        <v>1005.4363838712644</v>
      </c>
      <c r="K22" s="2">
        <f>data!$G21*$G22*E22*data!$D21+K21</f>
        <v>10000.874017333585</v>
      </c>
      <c r="L22" s="2">
        <f>data!$G21*$G22*F22*data!$D21+L21</f>
        <v>9945.6993590704715</v>
      </c>
    </row>
    <row r="23" spans="1:12" x14ac:dyDescent="0.3">
      <c r="A23" s="23">
        <f>MIN(1.5*data!K21,1)</f>
        <v>7.5000000000000011E-2</v>
      </c>
      <c r="K23" s="6">
        <f>K22/I22</f>
        <v>9.8009863257938736</v>
      </c>
      <c r="L23" s="7">
        <f>L22/J22</f>
        <v>9.8919230680475501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8E8D-DEB5-49E9-B69D-5249F7E7F635}">
  <dimension ref="A1:R23"/>
  <sheetViews>
    <sheetView workbookViewId="0">
      <selection sqref="A1:R23"/>
    </sheetView>
  </sheetViews>
  <sheetFormatPr defaultRowHeight="14.4" x14ac:dyDescent="0.3"/>
  <sheetData>
    <row r="1" spans="1:18" x14ac:dyDescent="0.3">
      <c r="A1" s="12" t="s">
        <v>12</v>
      </c>
      <c r="B1" s="12" t="s">
        <v>11</v>
      </c>
      <c r="C1" s="12" t="s">
        <v>13</v>
      </c>
      <c r="D1" s="12" t="s">
        <v>16</v>
      </c>
      <c r="E1" s="12" t="s">
        <v>17</v>
      </c>
      <c r="F1" s="12" t="s">
        <v>18</v>
      </c>
      <c r="G1" s="12" t="s">
        <v>19</v>
      </c>
      <c r="H1" s="13" t="s">
        <v>20</v>
      </c>
      <c r="I1" s="12" t="s">
        <v>26</v>
      </c>
      <c r="J1" s="12" t="s">
        <v>27</v>
      </c>
      <c r="K1" s="12" t="s">
        <v>22</v>
      </c>
      <c r="L1" s="13" t="s">
        <v>23</v>
      </c>
      <c r="M1" s="28" t="s">
        <v>24</v>
      </c>
      <c r="N1" s="29" t="s">
        <v>25</v>
      </c>
      <c r="O1" s="14" t="s">
        <v>29</v>
      </c>
      <c r="P1" s="14" t="s">
        <v>28</v>
      </c>
      <c r="Q1" s="14" t="s">
        <v>30</v>
      </c>
      <c r="R1" s="29" t="s">
        <v>31</v>
      </c>
    </row>
    <row r="2" spans="1:18" x14ac:dyDescent="0.3">
      <c r="A2" s="1">
        <f>-LN(data!B3/data!B4)/data!B5-LN(1+data!E21)</f>
        <v>6.9161833084558722E-3</v>
      </c>
      <c r="B2" s="2">
        <f>B3*EXP(-(data!F2+$A$2))</f>
        <v>800.00000000000068</v>
      </c>
      <c r="C2" s="2">
        <f>data!B6</f>
        <v>200</v>
      </c>
      <c r="D2" s="2">
        <f>B2+C2</f>
        <v>1000.0000000000007</v>
      </c>
      <c r="G2">
        <v>1</v>
      </c>
      <c r="H2" s="10">
        <f>(data!J2+A4*(1-data!J2))*G2</f>
        <v>3.1374013749999999E-2</v>
      </c>
      <c r="I2" s="2">
        <f>data!$G2*$H2*E3</f>
        <v>31.552284155478457</v>
      </c>
      <c r="J2" s="2">
        <f>data!$G2*$H2*F3</f>
        <v>30.531441710083016</v>
      </c>
      <c r="K2" s="2">
        <f>data!$G2*$H2*E3*data!$D2</f>
        <v>31.552284155478457</v>
      </c>
      <c r="L2" s="2">
        <f>data!$G2*$H2*F3*data!$D2</f>
        <v>30.531441710083016</v>
      </c>
      <c r="M2" s="6">
        <f>$D2-I22</f>
        <v>-30.521952046133038</v>
      </c>
      <c r="N2" s="7">
        <f>$D2-J22</f>
        <v>-23.520947910591417</v>
      </c>
      <c r="O2" s="2">
        <f>plain_case!M2-M2</f>
        <v>6.0229607390315323</v>
      </c>
      <c r="P2" s="2">
        <f>plain_case!N2-N2</f>
        <v>10.313318369688091</v>
      </c>
      <c r="Q2" s="6">
        <f>MAX(O2,0)</f>
        <v>6.0229607390315323</v>
      </c>
      <c r="R2" s="7">
        <f>MAX(P2,0)</f>
        <v>10.313318369688091</v>
      </c>
    </row>
    <row r="3" spans="1:18" x14ac:dyDescent="0.3">
      <c r="A3" s="22" t="s">
        <v>8</v>
      </c>
      <c r="B3" s="2">
        <f>B4*EXP(-(data!F3+$A$2))</f>
        <v>801.00075476775532</v>
      </c>
      <c r="C3" s="2">
        <f>C2*EXP(data!F2-0.5*data!$B$7^2)</f>
        <v>196.64525018183591</v>
      </c>
      <c r="D3" s="2">
        <f t="shared" ref="D3:D22" si="0">B3+C3</f>
        <v>997.6460049495912</v>
      </c>
      <c r="E3" s="2">
        <f>MAX(F3,1000)</f>
        <v>1000</v>
      </c>
      <c r="F3" s="2">
        <f t="shared" ref="F3:F22" si="1">D3-D2*0.03</f>
        <v>967.6460049495912</v>
      </c>
      <c r="G3" s="1">
        <f>G2*(1-data!J2)*(1-A4)</f>
        <v>0.96862598625000007</v>
      </c>
      <c r="H3" s="10">
        <f>(data!J3+A5*(1-data!J3))*G3</f>
        <v>3.1068583825778599E-2</v>
      </c>
      <c r="I3" s="2">
        <f>data!$G3*$H3*E4+I2</f>
        <v>62.962304244101354</v>
      </c>
      <c r="J3" s="2">
        <f>data!$G3*$H3*F4+J2</f>
        <v>60.867886023746536</v>
      </c>
      <c r="K3" s="2">
        <f>data!$G3*$H3*E4*data!$D3+K2</f>
        <v>94.372324332724247</v>
      </c>
      <c r="L3" s="2">
        <f>data!$G3*$H3*F4*data!$D3+L2</f>
        <v>91.204330337410056</v>
      </c>
    </row>
    <row r="4" spans="1:18" x14ac:dyDescent="0.3">
      <c r="A4" s="32">
        <f>MAX(0.5*data!K2,data!K2-0.2)</f>
        <v>2.5000000000000001E-2</v>
      </c>
      <c r="B4" s="2">
        <f>B5*EXP(-(data!F4+$A$2))</f>
        <v>802.32541779862527</v>
      </c>
      <c r="C4" s="2">
        <f>C3*EXP(data!F3-0.5*data!$B$7^2)</f>
        <v>193.42455807281033</v>
      </c>
      <c r="D4" s="2">
        <f t="shared" si="0"/>
        <v>995.74997587143559</v>
      </c>
      <c r="E4" s="2">
        <f t="shared" ref="E4:E22" si="2">MAX(F4,1000)</f>
        <v>1000</v>
      </c>
      <c r="F4" s="2">
        <f t="shared" si="1"/>
        <v>965.82059572294781</v>
      </c>
      <c r="G4" s="1">
        <f>G3*(1-data!J3)*(1-A5)</f>
        <v>0.93755740242422136</v>
      </c>
      <c r="H4" s="10">
        <f>(data!J4+A6*(1-data!J4))*G4</f>
        <v>3.0724788328141808E-2</v>
      </c>
      <c r="I4" s="2">
        <f>data!$G4*$H4*E5+I3</f>
        <v>94.14791022758638</v>
      </c>
      <c r="J4" s="2">
        <f>data!$G4*$H4*F5+J3</f>
        <v>90.972474205532464</v>
      </c>
      <c r="K4" s="2">
        <f>data!$G4*$H4*E5*data!$D4+K3</f>
        <v>187.92914228317932</v>
      </c>
      <c r="L4" s="2">
        <f>data!$G4*$H4*F5*data!$D4+L3</f>
        <v>181.51809488276783</v>
      </c>
    </row>
    <row r="5" spans="1:18" x14ac:dyDescent="0.3">
      <c r="A5" s="32">
        <f>MAX(0.5*data!K3,data!K3-0.2)</f>
        <v>2.5000000000000001E-2</v>
      </c>
      <c r="B5" s="2">
        <f>B6*EXP(-(data!F5+$A$2))</f>
        <v>804.70311013269441</v>
      </c>
      <c r="C5" s="2">
        <f>C4*EXP(data!F4-0.5*data!$B$7^2)</f>
        <v>190.50539055796133</v>
      </c>
      <c r="D5" s="2">
        <f t="shared" si="0"/>
        <v>995.20850069065568</v>
      </c>
      <c r="E5" s="2">
        <f t="shared" si="2"/>
        <v>1000</v>
      </c>
      <c r="F5" s="2">
        <f t="shared" si="1"/>
        <v>965.33600141451257</v>
      </c>
      <c r="G5" s="1">
        <f>G4*(1-data!J4)*(1-A6)</f>
        <v>0.90683261409607951</v>
      </c>
      <c r="H5" s="10">
        <f>(data!J5+A7*(1-data!J5))*G5</f>
        <v>3.0307479957274903E-2</v>
      </c>
      <c r="I5" s="2">
        <f>data!$G5*$H5*E6+I4</f>
        <v>124.99224286839545</v>
      </c>
      <c r="J5" s="2">
        <f>data!$G5*$H5*F6+J4</f>
        <v>120.77245982690594</v>
      </c>
      <c r="K5" s="2">
        <f>data!$G5*$H5*E6*data!$D5+K4</f>
        <v>311.3064728464156</v>
      </c>
      <c r="L5" s="2">
        <f>data!$G5*$H5*F6*data!$D5+L4</f>
        <v>300.71803736826172</v>
      </c>
    </row>
    <row r="6" spans="1:18" x14ac:dyDescent="0.3">
      <c r="A6" s="32">
        <f>MAX(0.5*data!K4,data!K4-0.2)</f>
        <v>2.5000000000000001E-2</v>
      </c>
      <c r="B6" s="2">
        <f>B7*EXP(-(data!F6+$A$2))</f>
        <v>808.12599413125622</v>
      </c>
      <c r="C6" s="2">
        <f>C5*EXP(data!F5-0.5*data!$B$7^2)</f>
        <v>187.87162528216035</v>
      </c>
      <c r="D6" s="2">
        <f t="shared" si="0"/>
        <v>995.9976194134166</v>
      </c>
      <c r="E6" s="2">
        <f t="shared" si="2"/>
        <v>1000</v>
      </c>
      <c r="F6" s="2">
        <f t="shared" si="1"/>
        <v>966.14136439269691</v>
      </c>
      <c r="G6" s="1">
        <f>G5*(1-data!J5)*(1-A7)</f>
        <v>0.87652513413880462</v>
      </c>
      <c r="H6" s="10">
        <f>(data!J6+A8*(1-data!J6))*G6</f>
        <v>3.0002278825709987E-2</v>
      </c>
      <c r="I6" s="2">
        <f>data!$G6*$H6*E7+I5</f>
        <v>155.53431352743473</v>
      </c>
      <c r="J6" s="2">
        <f>data!$G6*$H6*F7+J5</f>
        <v>150.37845859062116</v>
      </c>
      <c r="K6" s="2">
        <f>data!$G6*$H6*E7*data!$D6+K5</f>
        <v>464.016826141612</v>
      </c>
      <c r="L6" s="2">
        <f>data!$G6*$H6*F7*data!$D6+L5</f>
        <v>448.74803118683781</v>
      </c>
    </row>
    <row r="7" spans="1:18" x14ac:dyDescent="0.3">
      <c r="A7" s="32">
        <f>MAX(0.5*data!K5,data!K5-0.2)</f>
        <v>2.5000000000000001E-2</v>
      </c>
      <c r="B7" s="2">
        <f>B8*EXP(-(data!F7+$A$2))</f>
        <v>813.51216854853408</v>
      </c>
      <c r="C7" s="2">
        <f>C6*EXP(data!F6-0.5*data!$B$7^2)</f>
        <v>185.71915386128686</v>
      </c>
      <c r="D7" s="2">
        <f t="shared" si="0"/>
        <v>999.2313224098209</v>
      </c>
      <c r="E7" s="2">
        <f t="shared" si="2"/>
        <v>1000</v>
      </c>
      <c r="F7" s="2">
        <f t="shared" si="1"/>
        <v>969.35139382741841</v>
      </c>
      <c r="G7" s="1">
        <f>G6*(1-data!J6)*(1-A8)</f>
        <v>0.84652285531309468</v>
      </c>
      <c r="H7" s="10">
        <f>(data!J7+A9*(1-data!J7))*G7</f>
        <v>2.9833500673808341E-2</v>
      </c>
      <c r="I7" s="2">
        <f>data!$G7*$H7*E8+I6</f>
        <v>185.86666477016408</v>
      </c>
      <c r="J7" s="2">
        <f>data!$G7*$H7*F8+J6</f>
        <v>179.92446773489408</v>
      </c>
      <c r="K7" s="2">
        <f>data!$G7*$H7*E8*data!$D7+K6</f>
        <v>646.01093359798801</v>
      </c>
      <c r="L7" s="2">
        <f>data!$G7*$H7*F8*data!$D7+L6</f>
        <v>626.02408605247535</v>
      </c>
    </row>
    <row r="8" spans="1:18" x14ac:dyDescent="0.3">
      <c r="A8" s="32">
        <f>MAX(0.5*data!K6,data!K6-0.2)</f>
        <v>2.5000000000000001E-2</v>
      </c>
      <c r="B8" s="2">
        <f>B9*EXP(-(data!F8+$A$2))</f>
        <v>820.18172583944408</v>
      </c>
      <c r="C8" s="2">
        <f>C7*EXP(data!F7-0.5*data!$B$7^2)</f>
        <v>183.87100861170401</v>
      </c>
      <c r="D8" s="2">
        <f t="shared" si="0"/>
        <v>1004.0527344511481</v>
      </c>
      <c r="E8" s="2">
        <f t="shared" si="2"/>
        <v>1000</v>
      </c>
      <c r="F8" s="2">
        <f t="shared" si="1"/>
        <v>974.07579477885349</v>
      </c>
      <c r="G8" s="1">
        <f>G7*(1-data!J7)*(1-A9)</f>
        <v>0.81668935463928627</v>
      </c>
      <c r="H8" s="10">
        <f>(data!J8+A10*(1-data!J8))*G8</f>
        <v>2.9635692133617112E-2</v>
      </c>
      <c r="I8" s="2">
        <f>data!$G8*$H8*E9+I7</f>
        <v>215.93746514418297</v>
      </c>
      <c r="J8" s="2">
        <f>data!$G8*$H8*F9+J7</f>
        <v>209.38157068904496</v>
      </c>
      <c r="K8" s="2">
        <f>data!$G8*$H8*E9*data!$D8+K7</f>
        <v>856.50653621612037</v>
      </c>
      <c r="L8" s="2">
        <f>data!$G8*$H8*F9*data!$D8+L7</f>
        <v>832.22380673153157</v>
      </c>
    </row>
    <row r="9" spans="1:18" x14ac:dyDescent="0.3">
      <c r="A9" s="32">
        <f>MAX(0.5*data!K7,data!K7-0.2)</f>
        <v>2.5000000000000001E-2</v>
      </c>
      <c r="B9" s="2">
        <f>B10*EXP(-(data!F9+$A$2))</f>
        <v>827.53371315724314</v>
      </c>
      <c r="C9" s="2">
        <f>C8*EXP(data!F8-0.5*data!$B$7^2)</f>
        <v>182.17945233150778</v>
      </c>
      <c r="D9" s="2">
        <f t="shared" si="0"/>
        <v>1009.713165488751</v>
      </c>
      <c r="E9" s="2">
        <f t="shared" si="2"/>
        <v>1000</v>
      </c>
      <c r="F9" s="2">
        <f t="shared" si="1"/>
        <v>979.59158345521655</v>
      </c>
      <c r="G9" s="1">
        <f>G8*(1-data!J8)*(1-A10)</f>
        <v>0.7870536625056691</v>
      </c>
      <c r="H9" s="10">
        <f>(data!J9+A11*(1-data!J9))*G9</f>
        <v>2.9576122904663538E-2</v>
      </c>
      <c r="I9" s="2">
        <f>data!$G9*$H9*E10+I8</f>
        <v>245.78949274166871</v>
      </c>
      <c r="J9" s="2">
        <f>data!$G9*$H9*F10+J8</f>
        <v>238.89035699205431</v>
      </c>
      <c r="K9" s="2">
        <f>data!$G9*$H9*E10*data!$D9+K8</f>
        <v>1095.3227569960063</v>
      </c>
      <c r="L9" s="2">
        <f>data!$G9*$H9*F10*data!$D9+L8</f>
        <v>1068.2940971556063</v>
      </c>
    </row>
    <row r="10" spans="1:18" x14ac:dyDescent="0.3">
      <c r="A10" s="32">
        <f>MAX(0.5*data!K8,data!K8-0.2)</f>
        <v>2.5000000000000001E-2</v>
      </c>
      <c r="B10" s="2">
        <f>B11*EXP(-(data!F10+$A$2))</f>
        <v>837.69645352899374</v>
      </c>
      <c r="C10" s="2">
        <f>C9*EXP(data!F9-0.5*data!$B$7^2)</f>
        <v>181.0968516206469</v>
      </c>
      <c r="D10" s="2">
        <f t="shared" si="0"/>
        <v>1018.7933051496407</v>
      </c>
      <c r="E10" s="2">
        <f t="shared" si="2"/>
        <v>1000</v>
      </c>
      <c r="F10" s="2">
        <f t="shared" si="1"/>
        <v>988.5019101849781</v>
      </c>
      <c r="G10" s="1">
        <f>G9*(1-data!J9)*(1-A11)</f>
        <v>0.7574775396010055</v>
      </c>
      <c r="H10" s="10">
        <f>(data!J10+A12*(1-data!J10))*G10</f>
        <v>2.9395153453147343E-2</v>
      </c>
      <c r="I10" s="2">
        <f>data!$G10*$H10*E11+I9</f>
        <v>275.32789312877287</v>
      </c>
      <c r="J10" s="2">
        <f>data!$G10*$H10*F11+J9</f>
        <v>268.32688899323114</v>
      </c>
      <c r="K10" s="2">
        <f>data!$G10*$H10*E11*data!$D10+K9</f>
        <v>1361.1683604799439</v>
      </c>
      <c r="L10" s="2">
        <f>data!$G10*$H10*F11*data!$D10+L9</f>
        <v>1333.2228851661978</v>
      </c>
    </row>
    <row r="11" spans="1:18" x14ac:dyDescent="0.3">
      <c r="A11" s="32">
        <f>MAX(0.5*data!K9,data!K9-0.2)</f>
        <v>2.5000000000000001E-2</v>
      </c>
      <c r="B11" s="2">
        <f>B12*EXP(-(data!F11+$A$2))</f>
        <v>847.2502154423895</v>
      </c>
      <c r="C11" s="2">
        <f>C10*EXP(data!F10-0.5*data!$B$7^2)</f>
        <v>179.86490725730363</v>
      </c>
      <c r="D11" s="2">
        <f t="shared" si="0"/>
        <v>1027.1151226996931</v>
      </c>
      <c r="E11" s="2">
        <f t="shared" si="2"/>
        <v>1000</v>
      </c>
      <c r="F11" s="2">
        <f t="shared" si="1"/>
        <v>996.5513235452039</v>
      </c>
      <c r="G11" s="1">
        <f>G10*(1-data!J10)*(1-A12)</f>
        <v>0.72808238614785814</v>
      </c>
      <c r="H11" s="10">
        <f>(data!J11+A13*(1-data!J11))*G11</f>
        <v>2.9411914766627793E-2</v>
      </c>
      <c r="I11" s="2">
        <f>data!$G11*$H11*E12+I10</f>
        <v>304.89446582926803</v>
      </c>
      <c r="J11" s="2">
        <f>data!$G11*$H11*F12+J10</f>
        <v>297.89346169372629</v>
      </c>
      <c r="K11" s="2">
        <f>data!$G11*$H11*E12*data!$D11+K10</f>
        <v>1656.8340874848955</v>
      </c>
      <c r="L11" s="2">
        <f>data!$G11*$H11*F12*data!$D11+L10</f>
        <v>1628.8886121711494</v>
      </c>
    </row>
    <row r="12" spans="1:18" x14ac:dyDescent="0.3">
      <c r="A12" s="32">
        <f>MAX(0.5*data!K10,data!K10-0.2)</f>
        <v>2.5000000000000001E-2</v>
      </c>
      <c r="B12" s="2">
        <f>B13*EXP(-(data!F12+$A$2))</f>
        <v>859.08970000200384</v>
      </c>
      <c r="C12" s="2">
        <f>C11*EXP(data!F11-0.5*data!$B$7^2)</f>
        <v>179.09513517496339</v>
      </c>
      <c r="D12" s="2">
        <f t="shared" si="0"/>
        <v>1038.1848351769672</v>
      </c>
      <c r="E12" s="2">
        <f t="shared" si="2"/>
        <v>1007.3713814959765</v>
      </c>
      <c r="F12" s="2">
        <f t="shared" si="1"/>
        <v>1007.3713814959765</v>
      </c>
      <c r="G12" s="1">
        <f>G11*(1-data!J11)*(1-A13)</f>
        <v>0.6986704713812304</v>
      </c>
      <c r="H12" s="10">
        <f>(data!J12+A14*(1-data!J12))*G12</f>
        <v>2.8818408521621128E-2</v>
      </c>
      <c r="I12" s="2">
        <f>data!$G12*$H12*E13+I11</f>
        <v>333.975171785589</v>
      </c>
      <c r="J12" s="2">
        <f>data!$G12*$H12*F13+J11</f>
        <v>326.97416765004726</v>
      </c>
      <c r="K12" s="2">
        <f>data!$G12*$H12*E13*data!$D12+K11</f>
        <v>1976.7218530044263</v>
      </c>
      <c r="L12" s="2">
        <f>data!$G12*$H12*F13*data!$D12+L11</f>
        <v>1948.7763776906802</v>
      </c>
    </row>
    <row r="13" spans="1:18" x14ac:dyDescent="0.3">
      <c r="A13" s="32">
        <f>MAX(0.5*data!K11,data!K11-0.2)</f>
        <v>2.5000000000000001E-2</v>
      </c>
      <c r="B13" s="2">
        <f>B14*EXP(-(data!F13+$A$2))</f>
        <v>871.34306360641722</v>
      </c>
      <c r="C13" s="2">
        <f>C12*EXP(data!F12-0.5*data!$B$7^2)</f>
        <v>178.37951637864273</v>
      </c>
      <c r="D13" s="2">
        <f t="shared" si="0"/>
        <v>1049.7225799850598</v>
      </c>
      <c r="E13" s="2">
        <f t="shared" si="2"/>
        <v>1018.5770349297509</v>
      </c>
      <c r="F13" s="2">
        <f t="shared" si="1"/>
        <v>1018.5770349297509</v>
      </c>
      <c r="G13" s="1">
        <f>G12*(1-data!J12)*(1-A14)</f>
        <v>0.6698520628596093</v>
      </c>
      <c r="H13" s="10">
        <f>(data!J13+A15*(1-data!J13))*G13</f>
        <v>2.8632963579143873E-2</v>
      </c>
      <c r="I13" s="2">
        <f>data!$G13*$H13*E14+I12</f>
        <v>362.98143950380717</v>
      </c>
      <c r="J13" s="2">
        <f>data!$G13*$H13*F14+J12</f>
        <v>355.98043536826543</v>
      </c>
      <c r="K13" s="2">
        <f>data!$G13*$H13*E14*data!$D13+K12</f>
        <v>2324.7970656230441</v>
      </c>
      <c r="L13" s="2">
        <f>data!$G13*$H13*F14*data!$D13+L12</f>
        <v>2296.851590309298</v>
      </c>
    </row>
    <row r="14" spans="1:18" x14ac:dyDescent="0.3">
      <c r="A14" s="32">
        <f>MAX(0.5*data!K12,data!K12-0.2)</f>
        <v>2.5000000000000001E-2</v>
      </c>
      <c r="B14" s="2">
        <f>B15*EXP(-(data!F14+$A$2))</f>
        <v>884.8982087103542</v>
      </c>
      <c r="C14" s="2">
        <f>C13*EXP(data!F13-0.5*data!$B$7^2)</f>
        <v>177.89332255867487</v>
      </c>
      <c r="D14" s="2">
        <f t="shared" si="0"/>
        <v>1062.7915312690291</v>
      </c>
      <c r="E14" s="2">
        <f t="shared" si="2"/>
        <v>1031.2998538694774</v>
      </c>
      <c r="F14" s="2">
        <f t="shared" si="1"/>
        <v>1031.2998538694774</v>
      </c>
      <c r="G14" s="1">
        <f>G13*(1-data!J13)*(1-A15)</f>
        <v>0.64121909928046539</v>
      </c>
      <c r="H14" s="10">
        <f>(data!J14+A16*(1-data!J14))*G14</f>
        <v>2.8609197529961911E-2</v>
      </c>
      <c r="I14" s="2">
        <f>data!$G14*$H14*E15+I13</f>
        <v>392.07685473381315</v>
      </c>
      <c r="J14" s="2">
        <f>data!$G14*$H14*F15+J13</f>
        <v>385.07585059827142</v>
      </c>
      <c r="K14" s="2">
        <f>data!$G14*$H14*E15*data!$D14+K13</f>
        <v>2703.0374636131219</v>
      </c>
      <c r="L14" s="2">
        <f>data!$G14*$H14*F15*data!$D14+L13</f>
        <v>2675.0919882993758</v>
      </c>
    </row>
    <row r="15" spans="1:18" x14ac:dyDescent="0.3">
      <c r="A15" s="32">
        <f>MAX(0.5*data!K13,data!K13-0.2)</f>
        <v>2.5000000000000001E-2</v>
      </c>
      <c r="B15" s="2">
        <f>B16*EXP(-(data!F15+$A$2))</f>
        <v>898.64256264601602</v>
      </c>
      <c r="C15" s="2">
        <f>C14*EXP(data!F14-0.5*data!$B$7^2)</f>
        <v>177.40417729011031</v>
      </c>
      <c r="D15" s="2">
        <f t="shared" si="0"/>
        <v>1076.0467399361264</v>
      </c>
      <c r="E15" s="2">
        <f t="shared" si="2"/>
        <v>1044.1629939980555</v>
      </c>
      <c r="F15" s="2">
        <f t="shared" si="1"/>
        <v>1044.1629939980555</v>
      </c>
      <c r="G15" s="1">
        <f>G14*(1-data!J14)*(1-A16)</f>
        <v>0.61260990175050356</v>
      </c>
      <c r="H15" s="10">
        <f>(data!J15+A17*(1-data!J15))*G15</f>
        <v>2.8890757551809285E-2</v>
      </c>
      <c r="I15" s="2">
        <f>data!$G15*$H15*E16+I14</f>
        <v>421.5750994589431</v>
      </c>
      <c r="J15" s="2">
        <f>data!$G15*$H15*F16+J14</f>
        <v>414.57409532340137</v>
      </c>
      <c r="K15" s="2">
        <f>data!$G15*$H15*E16*data!$D15+K14</f>
        <v>3116.0128897649411</v>
      </c>
      <c r="L15" s="2">
        <f>data!$G15*$H15*F16*data!$D15+L14</f>
        <v>3088.067414451195</v>
      </c>
    </row>
    <row r="16" spans="1:18" x14ac:dyDescent="0.3">
      <c r="A16" s="32">
        <f>MAX(0.5*data!K14,data!K14-0.2)</f>
        <v>2.5000000000000001E-2</v>
      </c>
      <c r="B16" s="2">
        <f>B17*EXP(-(data!F16+$A$2))</f>
        <v>912.94342782753324</v>
      </c>
      <c r="C16" s="2">
        <f>C15*EXP(data!F15-0.5*data!$B$7^2)</f>
        <v>176.98287708967209</v>
      </c>
      <c r="D16" s="2">
        <f t="shared" si="0"/>
        <v>1089.9263049172052</v>
      </c>
      <c r="E16" s="2">
        <f t="shared" si="2"/>
        <v>1057.6449027191215</v>
      </c>
      <c r="F16" s="2">
        <f t="shared" si="1"/>
        <v>1057.6449027191215</v>
      </c>
      <c r="G16" s="1">
        <f>G15*(1-data!J15)*(1-A17)</f>
        <v>0.58371914419869431</v>
      </c>
      <c r="H16" s="10">
        <f>(data!J16+A18*(1-data!J16))*G16</f>
        <v>2.9095457247888364E-2</v>
      </c>
      <c r="I16" s="2">
        <f>data!$G16*$H16*E17+I15</f>
        <v>451.40173320407706</v>
      </c>
      <c r="J16" s="2">
        <f>data!$G16*$H16*F17+J15</f>
        <v>444.40072906853533</v>
      </c>
      <c r="K16" s="2">
        <f>data!$G16*$H16*E17*data!$D16+K15</f>
        <v>3563.4123959419503</v>
      </c>
      <c r="L16" s="2">
        <f>data!$G16*$H16*F17*data!$D16+L15</f>
        <v>3535.4669206282042</v>
      </c>
    </row>
    <row r="17" spans="1:12" x14ac:dyDescent="0.3">
      <c r="A17" s="32">
        <f>MAX(0.5*data!K15,data!K15-0.2)</f>
        <v>2.5000000000000001E-2</v>
      </c>
      <c r="B17" s="2">
        <f>B18*EXP(-(data!F17+$A$2))</f>
        <v>928.09821275853972</v>
      </c>
      <c r="C17" s="2">
        <f>C16*EXP(data!F16-0.5*data!$B$7^2)</f>
        <v>176.68181317458851</v>
      </c>
      <c r="D17" s="2">
        <f t="shared" si="0"/>
        <v>1104.7800259331282</v>
      </c>
      <c r="E17" s="2">
        <f t="shared" si="2"/>
        <v>1072.0822367856119</v>
      </c>
      <c r="F17" s="2">
        <f t="shared" si="1"/>
        <v>1072.0822367856119</v>
      </c>
      <c r="G17" s="1">
        <f>G16*(1-data!J16)*(1-A18)</f>
        <v>0.55462368695080588</v>
      </c>
      <c r="H17" s="10">
        <f>(data!J17+A19*(1-data!J17))*G17</f>
        <v>2.9842949808833296E-2</v>
      </c>
      <c r="I17" s="2">
        <f>data!$G17*$H17*E18+I16</f>
        <v>482.11650138585782</v>
      </c>
      <c r="J17" s="2">
        <f>data!$G17*$H17*F18+J16</f>
        <v>475.11549725031608</v>
      </c>
      <c r="K17" s="2">
        <f>data!$G17*$H17*E18*data!$D17+K16</f>
        <v>4054.8486868504428</v>
      </c>
      <c r="L17" s="2">
        <f>data!$G17*$H17*F18*data!$D17+L16</f>
        <v>4026.9032115366967</v>
      </c>
    </row>
    <row r="18" spans="1:12" x14ac:dyDescent="0.3">
      <c r="A18" s="32">
        <f>MAX(0.5*data!K16,data!K16-0.2)</f>
        <v>2.5000000000000001E-2</v>
      </c>
      <c r="B18" s="2">
        <f>B19*EXP(-(data!F18+$A$2))</f>
        <v>941.6793097841371</v>
      </c>
      <c r="C18" s="2">
        <f>C17*EXP(data!F17-0.5*data!$B$7^2)</f>
        <v>176.04004315509536</v>
      </c>
      <c r="D18" s="2">
        <f t="shared" si="0"/>
        <v>1117.7193529392325</v>
      </c>
      <c r="E18" s="2">
        <f t="shared" si="2"/>
        <v>1084.5759521612388</v>
      </c>
      <c r="F18" s="2">
        <f t="shared" si="1"/>
        <v>1084.5759521612388</v>
      </c>
      <c r="G18" s="1">
        <f>G17*(1-data!J17)*(1-A19)</f>
        <v>0.5247807371419726</v>
      </c>
      <c r="H18" s="10">
        <f>(data!J18+A20*(1-data!J18))*G18</f>
        <v>2.9764783980102849E-2</v>
      </c>
      <c r="I18" s="2">
        <f>data!$G18*$H18*E19+I17</f>
        <v>512.87495636856465</v>
      </c>
      <c r="J18" s="2">
        <f>data!$G18*$H18*F19+J17</f>
        <v>505.87395223302298</v>
      </c>
      <c r="K18" s="2">
        <f>data!$G18*$H18*E19*data!$D18+K17</f>
        <v>4577.7424215564597</v>
      </c>
      <c r="L18" s="2">
        <f>data!$G18*$H18*F19*data!$D18+L17</f>
        <v>4549.7969462427136</v>
      </c>
    </row>
    <row r="19" spans="1:12" x14ac:dyDescent="0.3">
      <c r="A19" s="32">
        <f>MAX(0.5*data!K17,data!K17-0.2)</f>
        <v>2.5000000000000001E-2</v>
      </c>
      <c r="B19" s="2">
        <f>B20*EXP(-(data!F19+$A$2))</f>
        <v>954.39223276911173</v>
      </c>
      <c r="C19" s="2">
        <f>C18*EXP(data!F18-0.5*data!$B$7^2)</f>
        <v>175.20474387499587</v>
      </c>
      <c r="D19" s="2">
        <f t="shared" si="0"/>
        <v>1129.5969766441076</v>
      </c>
      <c r="E19" s="2">
        <f t="shared" si="2"/>
        <v>1096.0653960559307</v>
      </c>
      <c r="F19" s="2">
        <f t="shared" si="1"/>
        <v>1096.0653960559307</v>
      </c>
      <c r="G19" s="1">
        <f>G18*(1-data!J18)*(1-A20)</f>
        <v>0.49501595316186969</v>
      </c>
      <c r="H19" s="10">
        <f>(data!J19+A21*(1-data!J19))*G19</f>
        <v>2.9602437753420034E-2</v>
      </c>
      <c r="I19" s="2">
        <f>data!$G19*$H19*E20+I18</f>
        <v>543.5921685716612</v>
      </c>
      <c r="J19" s="2">
        <f>data!$G19*$H19*F20+J18</f>
        <v>536.59116443611947</v>
      </c>
      <c r="K19" s="2">
        <f>data!$G19*$H19*E20*data!$D19+K18</f>
        <v>5130.6522412121976</v>
      </c>
      <c r="L19" s="2">
        <f>data!$G19*$H19*F20*data!$D19+L18</f>
        <v>5102.7067658984515</v>
      </c>
    </row>
    <row r="20" spans="1:12" x14ac:dyDescent="0.3">
      <c r="A20" s="32">
        <f>MAX(0.5*data!K18,data!K18-0.2)</f>
        <v>2.5000000000000001E-2</v>
      </c>
      <c r="B20" s="2">
        <f>B21*EXP(-(data!F20+$A$2))</f>
        <v>967.46903157777763</v>
      </c>
      <c r="C20" s="2">
        <f>C19*EXP(data!F19-0.5*data!$B$7^2)</f>
        <v>174.40806505977133</v>
      </c>
      <c r="D20" s="2">
        <f t="shared" si="0"/>
        <v>1141.8770966375489</v>
      </c>
      <c r="E20" s="2">
        <f t="shared" si="2"/>
        <v>1107.9891873382257</v>
      </c>
      <c r="F20" s="2">
        <f t="shared" si="1"/>
        <v>1107.9891873382257</v>
      </c>
      <c r="G20" s="1">
        <f>G19*(1-data!J19)*(1-A21)</f>
        <v>0.46541351540844966</v>
      </c>
      <c r="H20" s="10">
        <f>(data!J20+A22*(1-data!J20))*G20</f>
        <v>2.9451041232879151E-2</v>
      </c>
      <c r="I20" s="2">
        <f>data!$G20*$H20*E21+I19</f>
        <v>574.28138141963871</v>
      </c>
      <c r="J20" s="2">
        <f>data!$G20*$H20*F21+J19</f>
        <v>567.28037728409697</v>
      </c>
      <c r="K20" s="2">
        <f>data!$G20*$H20*E21*data!$D20+K19</f>
        <v>5713.7472853237696</v>
      </c>
      <c r="L20" s="2">
        <f>data!$G20*$H20*F21*data!$D20+L19</f>
        <v>5685.8018100100235</v>
      </c>
    </row>
    <row r="21" spans="1:12" x14ac:dyDescent="0.3">
      <c r="A21" s="32">
        <f>MAX(0.5*data!K19,data!K19-0.2)</f>
        <v>2.5000000000000001E-2</v>
      </c>
      <c r="B21" s="2">
        <f>B22*EXP(-(data!F21+$A$2))</f>
        <v>982.37694602175327</v>
      </c>
      <c r="C21" s="2">
        <f>C20*EXP(data!F20-0.5*data!$B$7^2)</f>
        <v>173.90744738859118</v>
      </c>
      <c r="D21" s="2">
        <f t="shared" si="0"/>
        <v>1156.2843934103444</v>
      </c>
      <c r="E21" s="2">
        <f t="shared" si="2"/>
        <v>1122.0280805112179</v>
      </c>
      <c r="F21" s="2">
        <f t="shared" si="1"/>
        <v>1122.0280805112179</v>
      </c>
      <c r="G21" s="1">
        <f>G20*(1-data!J20)*(1-A22)</f>
        <v>0.43596247417557049</v>
      </c>
      <c r="H21" s="10">
        <f>(data!J21+A23*(1-data!J21))*G21</f>
        <v>2.9161826352086348E-2</v>
      </c>
      <c r="I21" s="2">
        <f>data!$G21*$H21*E22+I20</f>
        <v>604.79962343243301</v>
      </c>
      <c r="J21" s="2">
        <f>data!$G21*$H21*F22+J20</f>
        <v>597.79861929689127</v>
      </c>
      <c r="K21" s="2">
        <f>data!$G21*$H21*E22*data!$D21+K20</f>
        <v>6324.1121255796552</v>
      </c>
      <c r="L21" s="2">
        <f>data!$G21*$H21*F22*data!$D21+L20</f>
        <v>6296.1666502659091</v>
      </c>
    </row>
    <row r="22" spans="1:12" x14ac:dyDescent="0.3">
      <c r="A22" s="32">
        <f>MAX(0.5*data!K20,data!K20-0.2)</f>
        <v>2.5000000000000001E-2</v>
      </c>
      <c r="B22" s="2">
        <f>data!B4</f>
        <v>1000</v>
      </c>
      <c r="C22" s="2">
        <f>C21*EXP(data!F21-0.5*data!$B$7^2)</f>
        <v>173.84033303342181</v>
      </c>
      <c r="D22" s="2">
        <f t="shared" si="0"/>
        <v>1173.8403330334218</v>
      </c>
      <c r="E22" s="2">
        <f t="shared" si="2"/>
        <v>1139.1518012311114</v>
      </c>
      <c r="F22" s="2">
        <f t="shared" si="1"/>
        <v>1139.1518012311114</v>
      </c>
      <c r="G22" s="1">
        <f>G21*(1-data!J21)*(1-A23)</f>
        <v>0.40680064782348413</v>
      </c>
      <c r="H22" s="10"/>
      <c r="I22" s="8">
        <f>data!$G21*$G22*E22+I21</f>
        <v>1030.5219520461337</v>
      </c>
      <c r="J22" s="8">
        <f>data!$G21*$G22*F22+J21</f>
        <v>1023.5209479105921</v>
      </c>
      <c r="K22" s="2">
        <f>data!$G21*$G22*E22*data!$D21+K21</f>
        <v>14838.558697853672</v>
      </c>
      <c r="L22" s="2">
        <f>data!$G21*$G22*F22*data!$D21+L21</f>
        <v>14810.613222539927</v>
      </c>
    </row>
    <row r="23" spans="1:12" x14ac:dyDescent="0.3">
      <c r="A23" s="23">
        <f>MAX(0.5*data!K21,data!K21-0.2)</f>
        <v>2.5000000000000001E-2</v>
      </c>
      <c r="K23" s="6">
        <f>K22/I22</f>
        <v>14.399070944962645</v>
      </c>
      <c r="L23" s="7">
        <f>L22/J22</f>
        <v>14.470259014018424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FB09-6463-4D3C-AF32-04863561B072}">
  <dimension ref="A1:R24"/>
  <sheetViews>
    <sheetView workbookViewId="0">
      <selection activeCell="P23" sqref="P23"/>
    </sheetView>
  </sheetViews>
  <sheetFormatPr defaultRowHeight="14.4" x14ac:dyDescent="0.3"/>
  <sheetData>
    <row r="1" spans="1:18" x14ac:dyDescent="0.3">
      <c r="A1" s="12" t="s">
        <v>12</v>
      </c>
      <c r="B1" s="12" t="s">
        <v>11</v>
      </c>
      <c r="C1" s="12" t="s">
        <v>13</v>
      </c>
      <c r="D1" s="12" t="s">
        <v>16</v>
      </c>
      <c r="E1" s="12" t="s">
        <v>17</v>
      </c>
      <c r="F1" s="12" t="s">
        <v>18</v>
      </c>
      <c r="G1" s="12" t="s">
        <v>19</v>
      </c>
      <c r="H1" s="13" t="s">
        <v>20</v>
      </c>
      <c r="I1" s="12" t="s">
        <v>26</v>
      </c>
      <c r="J1" s="12" t="s">
        <v>27</v>
      </c>
      <c r="K1" s="12" t="s">
        <v>22</v>
      </c>
      <c r="L1" s="13" t="s">
        <v>23</v>
      </c>
      <c r="M1" s="28" t="s">
        <v>24</v>
      </c>
      <c r="N1" s="29" t="s">
        <v>25</v>
      </c>
      <c r="O1" s="14" t="s">
        <v>29</v>
      </c>
      <c r="P1" s="14" t="s">
        <v>28</v>
      </c>
      <c r="Q1" s="14" t="s">
        <v>30</v>
      </c>
      <c r="R1" s="29" t="s">
        <v>31</v>
      </c>
    </row>
    <row r="2" spans="1:18" x14ac:dyDescent="0.3">
      <c r="A2" s="1">
        <f>-LN(data!B3/data!B4)/data!B5-LN(1+data!E21)</f>
        <v>6.9161833084558722E-3</v>
      </c>
      <c r="B2" s="2">
        <f>B3*EXP(-(data!F2+$A$2))</f>
        <v>800.00000000000068</v>
      </c>
      <c r="C2" s="2">
        <f>data!B6</f>
        <v>200</v>
      </c>
      <c r="D2" s="2">
        <f>B2+C2</f>
        <v>1000.0000000000007</v>
      </c>
      <c r="G2">
        <v>1</v>
      </c>
      <c r="H2" s="10">
        <f>(data!J2+A4*(1-data!J2))*G2</f>
        <v>0.40392247000000003</v>
      </c>
      <c r="I2" s="2">
        <f>data!$G2*$H2*E3</f>
        <v>406.21759943681815</v>
      </c>
      <c r="J2" s="2">
        <f>data!$G2*$H2*F3</f>
        <v>393.07483723525036</v>
      </c>
      <c r="K2" s="2">
        <f>data!$G2*$H2*E3*data!$D2</f>
        <v>406.21759943681815</v>
      </c>
      <c r="L2" s="2">
        <f>data!$G2*$H2*F3*data!$D2</f>
        <v>393.07483723525036</v>
      </c>
      <c r="M2" s="6">
        <f>$D2-I22</f>
        <v>-17.566453836523351</v>
      </c>
      <c r="N2" s="7">
        <f>$D2-J22</f>
        <v>1.5525555252917229</v>
      </c>
      <c r="O2" s="2">
        <f>plain_case!M2-M2</f>
        <v>-6.9325374705781542</v>
      </c>
      <c r="P2" s="2">
        <f>plain_case!N2-N2</f>
        <v>-14.760185066195049</v>
      </c>
      <c r="Q2" s="6">
        <f>MAX(O2,0)</f>
        <v>0</v>
      </c>
      <c r="R2" s="7">
        <f>MAX(P2,0)</f>
        <v>0</v>
      </c>
    </row>
    <row r="3" spans="1:18" x14ac:dyDescent="0.3">
      <c r="A3" s="22" t="s">
        <v>8</v>
      </c>
      <c r="B3" s="2">
        <f>B4*EXP(-(data!F3+$A$2))</f>
        <v>801.00075476775532</v>
      </c>
      <c r="C3" s="2">
        <f>C2*EXP(data!F2-0.5*data!$B$7^2)</f>
        <v>196.64525018183591</v>
      </c>
      <c r="D3" s="2">
        <f t="shared" ref="D3:D22" si="0">B3+C3</f>
        <v>997.6460049495912</v>
      </c>
      <c r="E3" s="2">
        <f>MAX(F3,1000)</f>
        <v>1000</v>
      </c>
      <c r="F3" s="2">
        <f t="shared" ref="F3:F22" si="1">D3-D2*0.03</f>
        <v>967.6460049495912</v>
      </c>
      <c r="G3" s="1">
        <f>G2*(1-data!J2)*(1-A4)</f>
        <v>0.59607752999999997</v>
      </c>
      <c r="H3" s="10">
        <f>(data!J3+A5*(1-data!J3))*G3</f>
        <v>3.3912933674628581E-2</v>
      </c>
      <c r="I3" s="2">
        <f>data!$G3*$H3*E4+I2</f>
        <v>440.50322809493497</v>
      </c>
      <c r="J3" s="2">
        <f>data!$G3*$H3*F4+J2</f>
        <v>426.18860353056851</v>
      </c>
      <c r="K3" s="2">
        <f>data!$G3*$H3*E4*data!$D3+K2</f>
        <v>474.78885675305179</v>
      </c>
      <c r="L3" s="2">
        <f>data!$G3*$H3*F4*data!$D3+L2</f>
        <v>459.30236982588667</v>
      </c>
    </row>
    <row r="4" spans="1:18" x14ac:dyDescent="0.3">
      <c r="A4" s="32">
        <f>0.4</f>
        <v>0.4</v>
      </c>
      <c r="B4" s="2">
        <f>B5*EXP(-(data!F4+$A$2))</f>
        <v>802.32541779862527</v>
      </c>
      <c r="C4" s="2">
        <f>C3*EXP(data!F3-0.5*data!$B$7^2)</f>
        <v>193.42455807281033</v>
      </c>
      <c r="D4" s="2">
        <f t="shared" si="0"/>
        <v>995.74997587143559</v>
      </c>
      <c r="E4" s="2">
        <f t="shared" ref="E4:E22" si="2">MAX(F4,1000)</f>
        <v>1000</v>
      </c>
      <c r="F4" s="2">
        <f t="shared" si="1"/>
        <v>965.82059572294781</v>
      </c>
      <c r="G4" s="1">
        <f>G3*(1-data!J3)*(1-A5)</f>
        <v>0.5621645963253713</v>
      </c>
      <c r="H4" s="10">
        <f>(data!J4+A6*(1-data!J4))*G4</f>
        <v>3.2364851317638062E-2</v>
      </c>
      <c r="I4" s="2">
        <f>data!$G4*$H4*E5+I3</f>
        <v>473.35349512123275</v>
      </c>
      <c r="J4" s="2">
        <f>data!$G4*$H4*F5+J3</f>
        <v>457.90014894713386</v>
      </c>
      <c r="K4" s="2">
        <f>data!$G4*$H4*E5*data!$D4+K3</f>
        <v>573.33965783194526</v>
      </c>
      <c r="L4" s="2">
        <f>data!$G4*$H4*F5*data!$D4+L3</f>
        <v>554.43700607558264</v>
      </c>
    </row>
    <row r="5" spans="1:18" x14ac:dyDescent="0.3">
      <c r="A5" s="32">
        <f>data!K3</f>
        <v>0.05</v>
      </c>
      <c r="B5" s="2">
        <f>B6*EXP(-(data!F5+$A$2))</f>
        <v>804.70311013269441</v>
      </c>
      <c r="C5" s="2">
        <f>C4*EXP(data!F4-0.5*data!$B$7^2)</f>
        <v>190.50539055796133</v>
      </c>
      <c r="D5" s="2">
        <f t="shared" si="0"/>
        <v>995.20850069065568</v>
      </c>
      <c r="E5" s="2">
        <f t="shared" si="2"/>
        <v>1000</v>
      </c>
      <c r="F5" s="2">
        <f t="shared" si="1"/>
        <v>965.33600141451257</v>
      </c>
      <c r="G5" s="1">
        <f>G4*(1-data!J4)*(1-A6)</f>
        <v>0.52979974500773319</v>
      </c>
      <c r="H5" s="10">
        <f>(data!J5+A7*(1-data!J5))*G5</f>
        <v>3.0837164223893262E-2</v>
      </c>
      <c r="I5" s="2">
        <f>data!$G5*$H5*E6+I4</f>
        <v>504.73689461079374</v>
      </c>
      <c r="J5" s="2">
        <f>data!$G5*$H5*F6+J4</f>
        <v>488.2209493492594</v>
      </c>
      <c r="K5" s="2">
        <f>data!$G5*$H5*E6*data!$D5+K4</f>
        <v>698.87325579018921</v>
      </c>
      <c r="L5" s="2">
        <f>data!$G5*$H5*F6*data!$D5+L4</f>
        <v>675.7202076840847</v>
      </c>
    </row>
    <row r="6" spans="1:18" x14ac:dyDescent="0.3">
      <c r="A6" s="32">
        <f>data!K4</f>
        <v>0.05</v>
      </c>
      <c r="B6" s="2">
        <f>B7*EXP(-(data!F6+$A$2))</f>
        <v>808.12599413125622</v>
      </c>
      <c r="C6" s="2">
        <f>C5*EXP(data!F5-0.5*data!$B$7^2)</f>
        <v>187.87162528216035</v>
      </c>
      <c r="D6" s="2">
        <f t="shared" si="0"/>
        <v>995.9976194134166</v>
      </c>
      <c r="E6" s="2">
        <f t="shared" si="2"/>
        <v>1000</v>
      </c>
      <c r="F6" s="2">
        <f t="shared" si="1"/>
        <v>966.14136439269691</v>
      </c>
      <c r="G6" s="1">
        <f>G5*(1-data!J5)*(1-A7)</f>
        <v>0.49896258078383993</v>
      </c>
      <c r="H6" s="10">
        <f>(data!J6+A8*(1-data!J6))*G6</f>
        <v>2.9434813289146097E-2</v>
      </c>
      <c r="I6" s="2">
        <f>data!$G6*$H6*E7+I5</f>
        <v>534.70129006672641</v>
      </c>
      <c r="J6" s="2">
        <f>data!$G6*$H6*F7+J5</f>
        <v>517.2669778496637</v>
      </c>
      <c r="K6" s="2">
        <f>data!$G6*$H6*E7*data!$D6+K5</f>
        <v>848.69523306985241</v>
      </c>
      <c r="L6" s="2">
        <f>data!$G6*$H6*F7*data!$D6+L5</f>
        <v>820.95035018610611</v>
      </c>
    </row>
    <row r="7" spans="1:18" x14ac:dyDescent="0.3">
      <c r="A7" s="32">
        <f>data!K5</f>
        <v>0.05</v>
      </c>
      <c r="B7" s="2">
        <f>B8*EXP(-(data!F7+$A$2))</f>
        <v>813.51216854853408</v>
      </c>
      <c r="C7" s="2">
        <f>C6*EXP(data!F6-0.5*data!$B$7^2)</f>
        <v>185.71915386128686</v>
      </c>
      <c r="D7" s="2">
        <f t="shared" si="0"/>
        <v>999.2313224098209</v>
      </c>
      <c r="E7" s="2">
        <f t="shared" si="2"/>
        <v>1000</v>
      </c>
      <c r="F7" s="2">
        <f t="shared" si="1"/>
        <v>969.35139382741841</v>
      </c>
      <c r="G7" s="1">
        <f>G6*(1-data!J6)*(1-A8)</f>
        <v>0.46952776749469383</v>
      </c>
      <c r="H7" s="10">
        <f>(data!J7+A9*(1-data!J7))*G7</f>
        <v>2.8162171493931236E-2</v>
      </c>
      <c r="I7" s="2">
        <f>data!$G7*$H7*E8+I6</f>
        <v>563.33436557642847</v>
      </c>
      <c r="J7" s="2">
        <f>data!$G7*$H7*F8+J6</f>
        <v>545.15776363373971</v>
      </c>
      <c r="K7" s="2">
        <f>data!$G7*$H7*E8*data!$D7+K6</f>
        <v>1020.4936861280648</v>
      </c>
      <c r="L7" s="2">
        <f>data!$G7*$H7*F8*data!$D7+L6</f>
        <v>988.29506489056189</v>
      </c>
    </row>
    <row r="8" spans="1:18" x14ac:dyDescent="0.3">
      <c r="A8" s="32">
        <f>data!K6</f>
        <v>0.05</v>
      </c>
      <c r="B8" s="2">
        <f>B9*EXP(-(data!F8+$A$2))</f>
        <v>820.18172583944408</v>
      </c>
      <c r="C8" s="2">
        <f>C7*EXP(data!F7-0.5*data!$B$7^2)</f>
        <v>183.87100861170401</v>
      </c>
      <c r="D8" s="2">
        <f t="shared" si="0"/>
        <v>1004.0527344511481</v>
      </c>
      <c r="E8" s="2">
        <f t="shared" si="2"/>
        <v>1000</v>
      </c>
      <c r="F8" s="2">
        <f t="shared" si="1"/>
        <v>974.07579477885349</v>
      </c>
      <c r="G8" s="1">
        <f>G7*(1-data!J7)*(1-A9)</f>
        <v>0.44136559600076253</v>
      </c>
      <c r="H8" s="10">
        <f>(data!J8+A10*(1-data!J8))*G8</f>
        <v>2.6922493215640237E-2</v>
      </c>
      <c r="I8" s="2">
        <f>data!$G8*$H8*E9+I7</f>
        <v>590.65213211983416</v>
      </c>
      <c r="J8" s="2">
        <f>data!$G8*$H8*F9+J7</f>
        <v>571.91801781845436</v>
      </c>
      <c r="K8" s="2">
        <f>data!$G8*$H8*E9*data!$D8+K7</f>
        <v>1211.7180519319045</v>
      </c>
      <c r="L8" s="2">
        <f>data!$G8*$H8*F9*data!$D8+L7</f>
        <v>1175.6168441835646</v>
      </c>
    </row>
    <row r="9" spans="1:18" x14ac:dyDescent="0.3">
      <c r="A9" s="32">
        <f>data!K7</f>
        <v>0.05</v>
      </c>
      <c r="B9" s="2">
        <f>B10*EXP(-(data!F9+$A$2))</f>
        <v>827.53371315724314</v>
      </c>
      <c r="C9" s="2">
        <f>C8*EXP(data!F8-0.5*data!$B$7^2)</f>
        <v>182.17945233150778</v>
      </c>
      <c r="D9" s="2">
        <f t="shared" si="0"/>
        <v>1009.713165488751</v>
      </c>
      <c r="E9" s="2">
        <f t="shared" si="2"/>
        <v>1000</v>
      </c>
      <c r="F9" s="2">
        <f t="shared" si="1"/>
        <v>979.59158345521655</v>
      </c>
      <c r="G9" s="1">
        <f>G8*(1-data!J8)*(1-A10)</f>
        <v>0.41444310278512225</v>
      </c>
      <c r="H9" s="10">
        <f>(data!J9+A11*(1-data!J9))*G9</f>
        <v>2.5801470340645904E-2</v>
      </c>
      <c r="I9" s="2">
        <f>data!$G9*$H9*E10+I8</f>
        <v>616.69429481801603</v>
      </c>
      <c r="J9" s="2">
        <f>data!$G9*$H9*F10+J8</f>
        <v>597.66074539095507</v>
      </c>
      <c r="K9" s="2">
        <f>data!$G9*$H9*E10*data!$D9+K8</f>
        <v>1420.0553535173594</v>
      </c>
      <c r="L9" s="2">
        <f>data!$G9*$H9*F10*data!$D9+L8</f>
        <v>1381.5586647635707</v>
      </c>
    </row>
    <row r="10" spans="1:18" x14ac:dyDescent="0.3">
      <c r="A10" s="32">
        <f>data!K8</f>
        <v>0.05</v>
      </c>
      <c r="B10" s="2">
        <f>B11*EXP(-(data!F10+$A$2))</f>
        <v>837.69645352899374</v>
      </c>
      <c r="C10" s="2">
        <f>C9*EXP(data!F9-0.5*data!$B$7^2)</f>
        <v>181.0968516206469</v>
      </c>
      <c r="D10" s="2">
        <f t="shared" si="0"/>
        <v>1018.7933051496407</v>
      </c>
      <c r="E10" s="2">
        <f t="shared" si="2"/>
        <v>1000</v>
      </c>
      <c r="F10" s="2">
        <f t="shared" si="1"/>
        <v>988.5019101849781</v>
      </c>
      <c r="G10" s="1">
        <f>G9*(1-data!J9)*(1-A11)</f>
        <v>0.3886416324444763</v>
      </c>
      <c r="H10" s="10">
        <f>(data!J10+A12*(1-data!J10))*G10</f>
        <v>2.4660328848074946E-2</v>
      </c>
      <c r="I10" s="2">
        <f>data!$G10*$H10*E11+I9</f>
        <v>641.47479709888103</v>
      </c>
      <c r="J10" s="2">
        <f>data!$G10*$H10*F11+J9</f>
        <v>622.35578773706595</v>
      </c>
      <c r="K10" s="2">
        <f>data!$G10*$H10*E11*data!$D10+K9</f>
        <v>1643.0798740451442</v>
      </c>
      <c r="L10" s="2">
        <f>data!$G10*$H10*F11*data!$D10+L9</f>
        <v>1603.814045878569</v>
      </c>
    </row>
    <row r="11" spans="1:18" x14ac:dyDescent="0.3">
      <c r="A11" s="32">
        <f>data!K9</f>
        <v>0.05</v>
      </c>
      <c r="B11" s="2">
        <f>B12*EXP(-(data!F11+$A$2))</f>
        <v>847.2502154423895</v>
      </c>
      <c r="C11" s="2">
        <f>C10*EXP(data!F10-0.5*data!$B$7^2)</f>
        <v>179.86490725730363</v>
      </c>
      <c r="D11" s="2">
        <f t="shared" si="0"/>
        <v>1027.1151226996931</v>
      </c>
      <c r="E11" s="2">
        <f t="shared" si="2"/>
        <v>1000</v>
      </c>
      <c r="F11" s="2">
        <f t="shared" si="1"/>
        <v>996.5513235452039</v>
      </c>
      <c r="G11" s="1">
        <f>G10*(1-data!J10)*(1-A12)</f>
        <v>0.36398130359640135</v>
      </c>
      <c r="H11" s="10">
        <f>(data!J11+A13*(1-data!J11))*G11</f>
        <v>2.3659378205281602E-2</v>
      </c>
      <c r="I11" s="2">
        <f>data!$G11*$H11*E12+I10</f>
        <v>665.25858442811284</v>
      </c>
      <c r="J11" s="2">
        <f>data!$G11*$H11*F12+J10</f>
        <v>646.13957506629777</v>
      </c>
      <c r="K11" s="2">
        <f>data!$G11*$H11*E12*data!$D11+K10</f>
        <v>1880.9177473374625</v>
      </c>
      <c r="L11" s="2">
        <f>data!$G11*$H11*F12*data!$D11+L10</f>
        <v>1841.6519191708876</v>
      </c>
    </row>
    <row r="12" spans="1:18" x14ac:dyDescent="0.3">
      <c r="A12" s="32">
        <f>data!K10</f>
        <v>0.05</v>
      </c>
      <c r="B12" s="2">
        <f>B13*EXP(-(data!F12+$A$2))</f>
        <v>859.08970000200384</v>
      </c>
      <c r="C12" s="2">
        <f>C11*EXP(data!F11-0.5*data!$B$7^2)</f>
        <v>179.09513517496339</v>
      </c>
      <c r="D12" s="2">
        <f t="shared" si="0"/>
        <v>1038.1848351769672</v>
      </c>
      <c r="E12" s="2">
        <f t="shared" si="2"/>
        <v>1007.3713814959765</v>
      </c>
      <c r="F12" s="2">
        <f t="shared" si="1"/>
        <v>1007.3713814959765</v>
      </c>
      <c r="G12" s="1">
        <f>G11*(1-data!J11)*(1-A13)</f>
        <v>0.34032192539111972</v>
      </c>
      <c r="H12" s="10">
        <f>(data!J12+A14*(1-data!J12))*G12</f>
        <v>2.2403696936620636E-2</v>
      </c>
      <c r="I12" s="2">
        <f>data!$G12*$H12*E13+I11</f>
        <v>687.86619381291257</v>
      </c>
      <c r="J12" s="2">
        <f>data!$G12*$H12*F13+J11</f>
        <v>668.7471844510975</v>
      </c>
      <c r="K12" s="2">
        <f>data!$G12*$H12*E13*data!$D12+K11</f>
        <v>2129.6014505702592</v>
      </c>
      <c r="L12" s="2">
        <f>data!$G12*$H12*F13*data!$D12+L11</f>
        <v>2090.3356224036843</v>
      </c>
    </row>
    <row r="13" spans="1:18" x14ac:dyDescent="0.3">
      <c r="A13" s="32">
        <f>data!K11</f>
        <v>0.05</v>
      </c>
      <c r="B13" s="2">
        <f>B14*EXP(-(data!F13+$A$2))</f>
        <v>871.34306360641722</v>
      </c>
      <c r="C13" s="2">
        <f>C12*EXP(data!F12-0.5*data!$B$7^2)</f>
        <v>178.37951637864273</v>
      </c>
      <c r="D13" s="2">
        <f t="shared" si="0"/>
        <v>1049.7225799850598</v>
      </c>
      <c r="E13" s="2">
        <f t="shared" si="2"/>
        <v>1018.5770349297509</v>
      </c>
      <c r="F13" s="2">
        <f t="shared" si="1"/>
        <v>1018.5770349297509</v>
      </c>
      <c r="G13" s="1">
        <f>G12*(1-data!J12)*(1-A14)</f>
        <v>0.31791822845449907</v>
      </c>
      <c r="H13" s="10">
        <f>(data!J13+A15*(1-data!J13))*G13</f>
        <v>2.1392781017389818E-2</v>
      </c>
      <c r="I13" s="2">
        <f>data!$G13*$H13*E14+I12</f>
        <v>709.53788461475506</v>
      </c>
      <c r="J13" s="2">
        <f>data!$G13*$H13*F14+J12</f>
        <v>690.41887525293998</v>
      </c>
      <c r="K13" s="2">
        <f>data!$G13*$H13*E14*data!$D13+K12</f>
        <v>2389.6617401923695</v>
      </c>
      <c r="L13" s="2">
        <f>data!$G13*$H13*F14*data!$D13+L12</f>
        <v>2350.3959120257946</v>
      </c>
    </row>
    <row r="14" spans="1:18" x14ac:dyDescent="0.3">
      <c r="A14" s="32">
        <f>data!K12</f>
        <v>0.05</v>
      </c>
      <c r="B14" s="2">
        <f>B15*EXP(-(data!F14+$A$2))</f>
        <v>884.8982087103542</v>
      </c>
      <c r="C14" s="2">
        <f>C13*EXP(data!F13-0.5*data!$B$7^2)</f>
        <v>177.89332255867487</v>
      </c>
      <c r="D14" s="2">
        <f t="shared" si="0"/>
        <v>1062.7915312690291</v>
      </c>
      <c r="E14" s="2">
        <f t="shared" si="2"/>
        <v>1031.2998538694774</v>
      </c>
      <c r="F14" s="2">
        <f t="shared" si="1"/>
        <v>1031.2998538694774</v>
      </c>
      <c r="G14" s="1">
        <f>G13*(1-data!J13)*(1-A15)</f>
        <v>0.29652544743710924</v>
      </c>
      <c r="H14" s="10">
        <f>(data!J14+A16*(1-data!J14))*G14</f>
        <v>2.0494025970267365E-2</v>
      </c>
      <c r="I14" s="2">
        <f>data!$G14*$H14*E15+I13</f>
        <v>730.38020969972047</v>
      </c>
      <c r="J14" s="2">
        <f>data!$G14*$H14*F15+J13</f>
        <v>711.26120033790539</v>
      </c>
      <c r="K14" s="2">
        <f>data!$G14*$H14*E15*data!$D14+K13</f>
        <v>2660.6119662969195</v>
      </c>
      <c r="L14" s="2">
        <f>data!$G14*$H14*F15*data!$D14+L13</f>
        <v>2621.346138130345</v>
      </c>
    </row>
    <row r="15" spans="1:18" x14ac:dyDescent="0.3">
      <c r="A15" s="32">
        <f>data!K13</f>
        <v>0.05</v>
      </c>
      <c r="B15" s="2">
        <f>B16*EXP(-(data!F15+$A$2))</f>
        <v>898.64256264601602</v>
      </c>
      <c r="C15" s="2">
        <f>C14*EXP(data!F14-0.5*data!$B$7^2)</f>
        <v>177.40417729011031</v>
      </c>
      <c r="D15" s="2">
        <f t="shared" si="0"/>
        <v>1076.0467399361264</v>
      </c>
      <c r="E15" s="2">
        <f t="shared" si="2"/>
        <v>1044.1629939980555</v>
      </c>
      <c r="F15" s="2">
        <f t="shared" si="1"/>
        <v>1044.1629939980555</v>
      </c>
      <c r="G15" s="1">
        <f>G14*(1-data!J14)*(1-A16)</f>
        <v>0.2760314214668419</v>
      </c>
      <c r="H15" s="10">
        <f>(data!J15+A17*(1-data!J15))*G15</f>
        <v>1.9761617648936185E-2</v>
      </c>
      <c r="I15" s="2">
        <f>data!$G15*$H15*E16+I14</f>
        <v>750.55735571354182</v>
      </c>
      <c r="J15" s="2">
        <f>data!$G15*$H15*F16+J14</f>
        <v>731.43834635172675</v>
      </c>
      <c r="K15" s="2">
        <f>data!$G15*$H15*E16*data!$D15+K14</f>
        <v>2943.0920104904176</v>
      </c>
      <c r="L15" s="2">
        <f>data!$G15*$H15*F16*data!$D15+L14</f>
        <v>2903.8261823238431</v>
      </c>
    </row>
    <row r="16" spans="1:18" x14ac:dyDescent="0.3">
      <c r="A16" s="32">
        <f>data!K14</f>
        <v>0.05</v>
      </c>
      <c r="B16" s="2">
        <f>B17*EXP(-(data!F16+$A$2))</f>
        <v>912.94342782753324</v>
      </c>
      <c r="C16" s="2">
        <f>C15*EXP(data!F15-0.5*data!$B$7^2)</f>
        <v>176.98287708967209</v>
      </c>
      <c r="D16" s="2">
        <f t="shared" si="0"/>
        <v>1089.9263049172052</v>
      </c>
      <c r="E16" s="2">
        <f t="shared" si="2"/>
        <v>1057.6449027191215</v>
      </c>
      <c r="F16" s="2">
        <f t="shared" si="1"/>
        <v>1057.6449027191215</v>
      </c>
      <c r="G16" s="1">
        <f>G15*(1-data!J15)*(1-A17)</f>
        <v>0.25626980381790571</v>
      </c>
      <c r="H16" s="10">
        <f>(data!J16+A18*(1-data!J16))*G16</f>
        <v>1.9017246409301903E-2</v>
      </c>
      <c r="I16" s="2">
        <f>data!$G16*$H16*E17+I15</f>
        <v>770.05251052958715</v>
      </c>
      <c r="J16" s="2">
        <f>data!$G16*$H16*F17+J15</f>
        <v>750.93350116777208</v>
      </c>
      <c r="K16" s="2">
        <f>data!$G16*$H16*E17*data!$D16+K15</f>
        <v>3235.5193327310972</v>
      </c>
      <c r="L16" s="2">
        <f>data!$G16*$H16*F17*data!$D16+L15</f>
        <v>3196.2535045645227</v>
      </c>
    </row>
    <row r="17" spans="1:12" x14ac:dyDescent="0.3">
      <c r="A17" s="32">
        <f>data!K15</f>
        <v>0.05</v>
      </c>
      <c r="B17" s="2">
        <f>B18*EXP(-(data!F17+$A$2))</f>
        <v>928.09821275853972</v>
      </c>
      <c r="C17" s="2">
        <f>C16*EXP(data!F16-0.5*data!$B$7^2)</f>
        <v>176.68181317458851</v>
      </c>
      <c r="D17" s="2">
        <f t="shared" si="0"/>
        <v>1104.7800259331282</v>
      </c>
      <c r="E17" s="2">
        <f t="shared" si="2"/>
        <v>1072.0822367856119</v>
      </c>
      <c r="F17" s="2">
        <f t="shared" si="1"/>
        <v>1072.0822367856119</v>
      </c>
      <c r="G17" s="1">
        <f>G16*(1-data!J16)*(1-A18)</f>
        <v>0.23725255740860382</v>
      </c>
      <c r="H17" s="10">
        <f>(data!J17+A19*(1-data!J17))*G17</f>
        <v>1.852204831434957E-2</v>
      </c>
      <c r="I17" s="2">
        <f>data!$G17*$H17*E18+I16</f>
        <v>789.1156535456505</v>
      </c>
      <c r="J17" s="2">
        <f>data!$G17*$H17*F18+J16</f>
        <v>769.99664418383543</v>
      </c>
      <c r="K17" s="2">
        <f>data!$G17*$H17*E18*data!$D17+K16</f>
        <v>3540.5296209881112</v>
      </c>
      <c r="L17" s="2">
        <f>data!$G17*$H17*F18*data!$D17+L16</f>
        <v>3501.2637928215368</v>
      </c>
    </row>
    <row r="18" spans="1:12" x14ac:dyDescent="0.3">
      <c r="A18" s="32">
        <f>data!K16</f>
        <v>0.05</v>
      </c>
      <c r="B18" s="2">
        <f>B19*EXP(-(data!F18+$A$2))</f>
        <v>941.6793097841371</v>
      </c>
      <c r="C18" s="2">
        <f>C17*EXP(data!F17-0.5*data!$B$7^2)</f>
        <v>176.04004315509536</v>
      </c>
      <c r="D18" s="2">
        <f t="shared" si="0"/>
        <v>1117.7193529392325</v>
      </c>
      <c r="E18" s="2">
        <f t="shared" si="2"/>
        <v>1084.5759521612388</v>
      </c>
      <c r="F18" s="2">
        <f t="shared" si="1"/>
        <v>1084.5759521612388</v>
      </c>
      <c r="G18" s="1">
        <f>G17*(1-data!J17)*(1-A19)</f>
        <v>0.21873050909425426</v>
      </c>
      <c r="H18" s="10">
        <f>(data!J18+A20*(1-data!J18))*G18</f>
        <v>1.7696439849617388E-2</v>
      </c>
      <c r="I18" s="2">
        <f>data!$G18*$H18*E19+I17</f>
        <v>807.40287339688473</v>
      </c>
      <c r="J18" s="2">
        <f>data!$G18*$H18*F19+J17</f>
        <v>788.28386403506966</v>
      </c>
      <c r="K18" s="2">
        <f>data!$G18*$H18*E19*data!$D18+K17</f>
        <v>3851.4123584590939</v>
      </c>
      <c r="L18" s="2">
        <f>data!$G18*$H18*F19*data!$D18+L17</f>
        <v>3812.1465302925194</v>
      </c>
    </row>
    <row r="19" spans="1:12" x14ac:dyDescent="0.3">
      <c r="A19" s="32">
        <f>data!K17</f>
        <v>0.05</v>
      </c>
      <c r="B19" s="2">
        <f>B20*EXP(-(data!F19+$A$2))</f>
        <v>954.39223276911173</v>
      </c>
      <c r="C19" s="2">
        <f>C18*EXP(data!F18-0.5*data!$B$7^2)</f>
        <v>175.20474387499587</v>
      </c>
      <c r="D19" s="2">
        <f t="shared" si="0"/>
        <v>1129.5969766441076</v>
      </c>
      <c r="E19" s="2">
        <f t="shared" si="2"/>
        <v>1096.0653960559307</v>
      </c>
      <c r="F19" s="2">
        <f t="shared" si="1"/>
        <v>1096.0653960559307</v>
      </c>
      <c r="G19" s="1">
        <f>G18*(1-data!J18)*(1-A20)</f>
        <v>0.20103406924463685</v>
      </c>
      <c r="H19" s="10">
        <f>(data!J19+A21*(1-data!J19))*G19</f>
        <v>1.6868496248636618E-2</v>
      </c>
      <c r="I19" s="2">
        <f>data!$G19*$H19*E20+I18</f>
        <v>824.90660681007785</v>
      </c>
      <c r="J19" s="2">
        <f>data!$G19*$H19*F20+J18</f>
        <v>805.78759744826277</v>
      </c>
      <c r="K19" s="2">
        <f>data!$G19*$H19*E20*data!$D19+K18</f>
        <v>4166.4795598965711</v>
      </c>
      <c r="L19" s="2">
        <f>data!$G19*$H19*F20*data!$D19+L18</f>
        <v>4127.2137317299967</v>
      </c>
    </row>
    <row r="20" spans="1:12" x14ac:dyDescent="0.3">
      <c r="A20" s="32">
        <f>data!K18</f>
        <v>0.05</v>
      </c>
      <c r="B20" s="2">
        <f>B21*EXP(-(data!F20+$A$2))</f>
        <v>967.46903157777763</v>
      </c>
      <c r="C20" s="2">
        <f>C19*EXP(data!F19-0.5*data!$B$7^2)</f>
        <v>174.40806505977133</v>
      </c>
      <c r="D20" s="2">
        <f t="shared" si="0"/>
        <v>1141.8770966375489</v>
      </c>
      <c r="E20" s="2">
        <f t="shared" si="2"/>
        <v>1107.9891873382257</v>
      </c>
      <c r="F20" s="2">
        <f t="shared" si="1"/>
        <v>1107.9891873382257</v>
      </c>
      <c r="G20" s="1">
        <f>G19*(1-data!J19)*(1-A21)</f>
        <v>0.18416557299600023</v>
      </c>
      <c r="H20" s="10">
        <f>(data!J20+A22*(1-data!J20))*G20</f>
        <v>1.6077245490813196E-2</v>
      </c>
      <c r="I20" s="2">
        <f>data!$G20*$H20*E21+I19</f>
        <v>841.65976690975958</v>
      </c>
      <c r="J20" s="2">
        <f>data!$G20*$H20*F21+J19</f>
        <v>822.54075754794451</v>
      </c>
      <c r="K20" s="2">
        <f>data!$G20*$H20*E21*data!$D20+K19</f>
        <v>4484.7896017905241</v>
      </c>
      <c r="L20" s="2">
        <f>data!$G20*$H20*F21*data!$D20+L19</f>
        <v>4445.5237736239487</v>
      </c>
    </row>
    <row r="21" spans="1:12" x14ac:dyDescent="0.3">
      <c r="A21" s="32">
        <f>data!K19</f>
        <v>0.05</v>
      </c>
      <c r="B21" s="2">
        <f>B22*EXP(-(data!F21+$A$2))</f>
        <v>982.37694602175327</v>
      </c>
      <c r="C21" s="2">
        <f>C20*EXP(data!F20-0.5*data!$B$7^2)</f>
        <v>173.90744738859118</v>
      </c>
      <c r="D21" s="2">
        <f t="shared" si="0"/>
        <v>1156.2843934103444</v>
      </c>
      <c r="E21" s="2">
        <f t="shared" si="2"/>
        <v>1122.0280805112179</v>
      </c>
      <c r="F21" s="2">
        <f t="shared" si="1"/>
        <v>1122.0280805112179</v>
      </c>
      <c r="G21" s="1">
        <f>G20*(1-data!J20)*(1-A22)</f>
        <v>0.16808832750518704</v>
      </c>
      <c r="H21" s="10">
        <f>(data!J21+A23*(1-data!J21))*G21</f>
        <v>1.5265203680174467E-2</v>
      </c>
      <c r="I21" s="2">
        <f>data!$G21*$H21*E22+I20</f>
        <v>857.63500709744528</v>
      </c>
      <c r="J21" s="2">
        <f>data!$G21*$H21*F22+J20</f>
        <v>838.51599773563021</v>
      </c>
      <c r="K21" s="2">
        <f>data!$G21*$H21*E22*data!$D21+K20</f>
        <v>4804.2944055442385</v>
      </c>
      <c r="L21" s="2">
        <f>data!$G21*$H21*F22*data!$D21+L20</f>
        <v>4765.0285773776632</v>
      </c>
    </row>
    <row r="22" spans="1:12" x14ac:dyDescent="0.3">
      <c r="A22" s="32">
        <f>data!K20</f>
        <v>0.05</v>
      </c>
      <c r="B22" s="2">
        <f>data!B4</f>
        <v>1000</v>
      </c>
      <c r="C22" s="2">
        <f>C21*EXP(data!F21-0.5*data!$B$7^2)</f>
        <v>173.84033303342181</v>
      </c>
      <c r="D22" s="2">
        <f t="shared" si="0"/>
        <v>1173.8403330334218</v>
      </c>
      <c r="E22" s="2">
        <f t="shared" si="2"/>
        <v>1139.1518012311114</v>
      </c>
      <c r="F22" s="2">
        <f t="shared" si="1"/>
        <v>1139.1518012311114</v>
      </c>
      <c r="G22" s="1">
        <f>G21*(1-data!J21)*(1-A23)</f>
        <v>0.15282312382501256</v>
      </c>
      <c r="H22" s="10"/>
      <c r="I22" s="8">
        <f>data!$G21*$G22*E22+I21</f>
        <v>1017.566453836524</v>
      </c>
      <c r="J22" s="8">
        <f>data!$G21*$G22*F22+J21</f>
        <v>998.44744447470896</v>
      </c>
      <c r="K22" s="2">
        <f>data!$G21*$G22*E22*data!$D21+K21</f>
        <v>8002.9233403258131</v>
      </c>
      <c r="L22" s="2">
        <f>data!$G21*$G22*F22*data!$D21+L21</f>
        <v>7963.6575121592377</v>
      </c>
    </row>
    <row r="23" spans="1:12" x14ac:dyDescent="0.3">
      <c r="A23" s="23">
        <f>data!K21</f>
        <v>0.05</v>
      </c>
      <c r="K23" s="6">
        <f>K22/I22</f>
        <v>7.8647672691571584</v>
      </c>
      <c r="L23" s="7">
        <f>L22/J22</f>
        <v>7.9760407583084962</v>
      </c>
    </row>
    <row r="24" spans="1:12" x14ac:dyDescent="0.3">
      <c r="A24" s="33"/>
      <c r="B24" s="3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423E-62FA-4C24-8F5F-0635F15DD7A1}">
  <dimension ref="A1:B2"/>
  <sheetViews>
    <sheetView tabSelected="1" workbookViewId="0">
      <selection activeCell="I14" sqref="I14"/>
    </sheetView>
  </sheetViews>
  <sheetFormatPr defaultRowHeight="14.4" x14ac:dyDescent="0.3"/>
  <sheetData>
    <row r="1" spans="1:2" x14ac:dyDescent="0.3">
      <c r="A1" s="24" t="s">
        <v>37</v>
      </c>
      <c r="B1" s="25" t="s">
        <v>38</v>
      </c>
    </row>
    <row r="2" spans="1:2" x14ac:dyDescent="0.3">
      <c r="A2" s="26">
        <f>MAX('lapse up'!Q2,'lapse down'!Q2,'lapse mass'!Q2)</f>
        <v>6.0229607390315323</v>
      </c>
      <c r="B2" s="27">
        <f>MAX('lapse up'!R2,'lapse down'!R2,'lapse mass'!R2)</f>
        <v>10.313318369688091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D448-63FA-4627-B8F5-8B810D712CCD}">
  <dimension ref="A1:R23"/>
  <sheetViews>
    <sheetView workbookViewId="0">
      <selection activeCell="R9" sqref="R9"/>
    </sheetView>
  </sheetViews>
  <sheetFormatPr defaultRowHeight="14.4" x14ac:dyDescent="0.3"/>
  <sheetData>
    <row r="1" spans="1:18" x14ac:dyDescent="0.3">
      <c r="A1" s="12" t="s">
        <v>12</v>
      </c>
      <c r="B1" s="12" t="s">
        <v>11</v>
      </c>
      <c r="C1" s="12" t="s">
        <v>13</v>
      </c>
      <c r="D1" s="12" t="s">
        <v>16</v>
      </c>
      <c r="E1" s="12" t="s">
        <v>17</v>
      </c>
      <c r="F1" s="12" t="s">
        <v>18</v>
      </c>
      <c r="G1" s="12" t="s">
        <v>19</v>
      </c>
      <c r="H1" s="13" t="s">
        <v>20</v>
      </c>
      <c r="I1" s="12" t="s">
        <v>26</v>
      </c>
      <c r="J1" s="12" t="s">
        <v>27</v>
      </c>
      <c r="K1" s="12" t="s">
        <v>22</v>
      </c>
      <c r="L1" s="13" t="s">
        <v>23</v>
      </c>
      <c r="M1" s="28" t="s">
        <v>24</v>
      </c>
      <c r="N1" s="29" t="s">
        <v>25</v>
      </c>
      <c r="O1" s="14" t="s">
        <v>29</v>
      </c>
      <c r="P1" s="14" t="s">
        <v>28</v>
      </c>
      <c r="Q1" s="14" t="s">
        <v>30</v>
      </c>
      <c r="R1" s="29" t="s">
        <v>31</v>
      </c>
    </row>
    <row r="2" spans="1:18" x14ac:dyDescent="0.3">
      <c r="A2" s="1">
        <f>-LN(data!B3/data!B4)/data!B5-LN(1+data!E21)</f>
        <v>6.9161833084558722E-3</v>
      </c>
      <c r="B2" s="2">
        <f>B3*EXP(-(data!F2+$A$2))</f>
        <v>800.00000000000068</v>
      </c>
      <c r="C2" s="2">
        <f>data!B6</f>
        <v>200</v>
      </c>
      <c r="D2" s="2">
        <f>B2+C2</f>
        <v>1000.0000000000007</v>
      </c>
      <c r="G2">
        <v>1</v>
      </c>
      <c r="H2" s="10">
        <f>(A4+data!K2*(1-A4))*G2</f>
        <v>5.7635577500000007E-2</v>
      </c>
      <c r="I2" s="2">
        <f>data!$G2*$H2*E3</f>
        <v>57.963068838940018</v>
      </c>
      <c r="J2" s="2">
        <f>data!$G2*$H2*F3</f>
        <v>56.087731996618452</v>
      </c>
      <c r="K2" s="2">
        <f>data!$G2*$H2*E3*data!$D2</f>
        <v>57.963068838940018</v>
      </c>
      <c r="L2" s="2">
        <f>data!$G2*$H2*F3*data!$D2</f>
        <v>56.087731996618452</v>
      </c>
      <c r="M2" s="6">
        <f>$D2-I22</f>
        <v>-24.470580240041045</v>
      </c>
      <c r="N2" s="7">
        <f>$D2-J22</f>
        <v>-13.147139048132999</v>
      </c>
      <c r="O2" s="2">
        <f>plain_case!M2-M2</f>
        <v>-2.8411067060460482E-2</v>
      </c>
      <c r="P2" s="2">
        <f>plain_case!N2-N2</f>
        <v>-6.0490492770327364E-2</v>
      </c>
      <c r="Q2" s="6">
        <f>MAX(O2,0)</f>
        <v>0</v>
      </c>
      <c r="R2" s="7">
        <f>MAX(P2,0)</f>
        <v>0</v>
      </c>
    </row>
    <row r="3" spans="1:18" x14ac:dyDescent="0.3">
      <c r="A3" s="22" t="s">
        <v>7</v>
      </c>
      <c r="B3" s="2">
        <f>B4*EXP(-(data!F3+$A$2))</f>
        <v>801.00075476775532</v>
      </c>
      <c r="C3" s="2">
        <f>C2*EXP(data!F2-0.5*data!$B$7^2)</f>
        <v>196.64525018183591</v>
      </c>
      <c r="D3" s="2">
        <f t="shared" ref="D3:D22" si="0">B3+C3</f>
        <v>997.6460049495912</v>
      </c>
      <c r="E3" s="2">
        <f>MAX(F3,1000)</f>
        <v>1000</v>
      </c>
      <c r="F3" s="2">
        <f t="shared" ref="F3:F22" si="1">D3-D2*0.03</f>
        <v>967.6460049495912</v>
      </c>
      <c r="G3" s="1">
        <f>G2*(1-A4)*(1-data!K2)</f>
        <v>0.94236442249999997</v>
      </c>
      <c r="H3" s="10">
        <f>(A5+data!K3*(1-A5))*G3</f>
        <v>5.3614405088499427E-2</v>
      </c>
      <c r="I3" s="2">
        <f>data!$G3*$H3*E4+I2</f>
        <v>112.1666833426703</v>
      </c>
      <c r="J3" s="2">
        <f>data!$G3*$H3*F4+J2</f>
        <v>108.43869924694825</v>
      </c>
      <c r="K3" s="2">
        <f>data!$G3*$H3*E4*data!$D3+K2</f>
        <v>166.3702978464006</v>
      </c>
      <c r="L3" s="2">
        <f>data!$G3*$H3*F4*data!$D3+L2</f>
        <v>160.78966649727803</v>
      </c>
    </row>
    <row r="4" spans="1:18" x14ac:dyDescent="0.3">
      <c r="A4" s="30">
        <f>data!J2+0.0015</f>
        <v>8.0374499999999998E-3</v>
      </c>
      <c r="B4" s="2">
        <f>B5*EXP(-(data!F4+$A$2))</f>
        <v>802.32541779862527</v>
      </c>
      <c r="C4" s="2">
        <f>C3*EXP(data!F3-0.5*data!$B$7^2)</f>
        <v>193.42455807281033</v>
      </c>
      <c r="D4" s="2">
        <f t="shared" si="0"/>
        <v>995.74997587143559</v>
      </c>
      <c r="E4" s="2">
        <f t="shared" ref="E4:E22" si="2">MAX(F4,1000)</f>
        <v>1000</v>
      </c>
      <c r="F4" s="2">
        <f t="shared" si="1"/>
        <v>965.82059572294781</v>
      </c>
      <c r="G4" s="1">
        <f>G3*(1-A5)*(1-data!K3)</f>
        <v>0.8887500174115005</v>
      </c>
      <c r="H4" s="10">
        <f>(A6+data!K4*(1-A6))*G4</f>
        <v>5.1166975579912163E-2</v>
      </c>
      <c r="I4" s="2">
        <f>data!$G4*$H4*E5+I3</f>
        <v>164.10107334594375</v>
      </c>
      <c r="J4" s="2">
        <f>data!$G4*$H4*F5+J3</f>
        <v>158.57283562861005</v>
      </c>
      <c r="K4" s="2">
        <f>data!$G4*$H4*E5*data!$D4+K3</f>
        <v>322.1734678562209</v>
      </c>
      <c r="L4" s="2">
        <f>data!$G4*$H4*F5*data!$D4+L3</f>
        <v>311.19207564226349</v>
      </c>
    </row>
    <row r="5" spans="1:18" x14ac:dyDescent="0.3">
      <c r="A5" s="30">
        <f>data!J3</f>
        <v>7.2563100000000002E-3</v>
      </c>
      <c r="B5" s="2">
        <f>B6*EXP(-(data!F5+$A$2))</f>
        <v>804.70311013269441</v>
      </c>
      <c r="C5" s="2">
        <f>C4*EXP(data!F4-0.5*data!$B$7^2)</f>
        <v>190.50539055796133</v>
      </c>
      <c r="D5" s="2">
        <f t="shared" si="0"/>
        <v>995.20850069065568</v>
      </c>
      <c r="E5" s="2">
        <f t="shared" si="2"/>
        <v>1000</v>
      </c>
      <c r="F5" s="2">
        <f t="shared" si="1"/>
        <v>965.33600141451257</v>
      </c>
      <c r="G5" s="1">
        <f>G4*(1-A6)*(1-data!K4)</f>
        <v>0.83758304183158827</v>
      </c>
      <c r="H5" s="10">
        <f>(A7+data!K5*(1-A7))*G5</f>
        <v>4.8751789813964025E-2</v>
      </c>
      <c r="I5" s="2">
        <f>data!$G5*$H5*E6+I4</f>
        <v>213.71642981822501</v>
      </c>
      <c r="J5" s="2">
        <f>data!$G5*$H5*F6+J4</f>
        <v>206.50828382556989</v>
      </c>
      <c r="K5" s="2">
        <f>data!$G5*$H5*E6*data!$D5+K4</f>
        <v>520.63489374534595</v>
      </c>
      <c r="L5" s="2">
        <f>data!$G5*$H5*F6*data!$D5+L4</f>
        <v>502.93386843010285</v>
      </c>
    </row>
    <row r="6" spans="1:18" x14ac:dyDescent="0.3">
      <c r="A6" s="30">
        <f>data!J4</f>
        <v>7.970360000000001E-3</v>
      </c>
      <c r="B6" s="2">
        <f>B7*EXP(-(data!F6+$A$2))</f>
        <v>808.12599413125622</v>
      </c>
      <c r="C6" s="2">
        <f>C5*EXP(data!F5-0.5*data!$B$7^2)</f>
        <v>187.87162528216035</v>
      </c>
      <c r="D6" s="2">
        <f t="shared" si="0"/>
        <v>995.9976194134166</v>
      </c>
      <c r="E6" s="2">
        <f t="shared" si="2"/>
        <v>1000</v>
      </c>
      <c r="F6" s="2">
        <f t="shared" si="1"/>
        <v>966.14136439269691</v>
      </c>
      <c r="G6" s="1">
        <f>G5*(1-A7)*(1-data!K5)</f>
        <v>0.78883125201762427</v>
      </c>
      <c r="H6" s="10">
        <f>(A8+data!K6*(1-A8))*G6</f>
        <v>4.6534753334220622E-2</v>
      </c>
      <c r="I6" s="2">
        <f>data!$G6*$H6*E7+I5</f>
        <v>261.08842221557575</v>
      </c>
      <c r="J6" s="2">
        <f>data!$G6*$H6*F7+J5</f>
        <v>252.42839068432369</v>
      </c>
      <c r="K6" s="2">
        <f>data!$G6*$H6*E7*data!$D6+K5</f>
        <v>757.4948557320995</v>
      </c>
      <c r="L6" s="2">
        <f>data!$G6*$H6*F7*data!$D6+L5</f>
        <v>732.53440272387184</v>
      </c>
    </row>
    <row r="7" spans="1:18" x14ac:dyDescent="0.3">
      <c r="A7" s="30">
        <f>data!J5</f>
        <v>8.6371800000000012E-3</v>
      </c>
      <c r="B7" s="2">
        <f>B8*EXP(-(data!F7+$A$2))</f>
        <v>813.51216854853408</v>
      </c>
      <c r="C7" s="2">
        <f>C6*EXP(data!F6-0.5*data!$B$7^2)</f>
        <v>185.71915386128686</v>
      </c>
      <c r="D7" s="2">
        <f t="shared" si="0"/>
        <v>999.2313224098209</v>
      </c>
      <c r="E7" s="2">
        <f t="shared" si="2"/>
        <v>1000</v>
      </c>
      <c r="F7" s="2">
        <f t="shared" si="1"/>
        <v>969.35139382741841</v>
      </c>
      <c r="G7" s="1">
        <f>G6*(1-A8)*(1-data!K6)</f>
        <v>0.74229649868340364</v>
      </c>
      <c r="H7" s="10">
        <f>(A9+data!K7*(1-A9))*G7</f>
        <v>4.4522779572356092E-2</v>
      </c>
      <c r="I7" s="2">
        <f>data!$G7*$H7*E8+I6</f>
        <v>306.35567405628728</v>
      </c>
      <c r="J7" s="2">
        <f>data!$G7*$H7*F8+J6</f>
        <v>296.5221249985193</v>
      </c>
      <c r="K7" s="2">
        <f>data!$G7*$H7*E8*data!$D7+K6</f>
        <v>1029.0983667763687</v>
      </c>
      <c r="L7" s="2">
        <f>data!$G7*$H7*F8*data!$D7+L6</f>
        <v>997.09680860904552</v>
      </c>
    </row>
    <row r="8" spans="1:18" x14ac:dyDescent="0.3">
      <c r="A8" s="30">
        <f>data!J6</f>
        <v>9.4652899999999995E-3</v>
      </c>
      <c r="B8" s="2">
        <f>B9*EXP(-(data!F8+$A$2))</f>
        <v>820.18172583944408</v>
      </c>
      <c r="C8" s="2">
        <f>C7*EXP(data!F7-0.5*data!$B$7^2)</f>
        <v>183.87100861170401</v>
      </c>
      <c r="D8" s="2">
        <f t="shared" si="0"/>
        <v>1004.0527344511481</v>
      </c>
      <c r="E8" s="2">
        <f t="shared" si="2"/>
        <v>1000</v>
      </c>
      <c r="F8" s="2">
        <f t="shared" si="1"/>
        <v>974.07579477885349</v>
      </c>
      <c r="G8" s="1">
        <f>G7*(1-A9)*(1-data!K7)</f>
        <v>0.69777371911104746</v>
      </c>
      <c r="H8" s="10">
        <f>(A10+data!K8*(1-A10))*G8</f>
        <v>4.2562919242094203E-2</v>
      </c>
      <c r="I8" s="2">
        <f>data!$G8*$H8*E9+I7</f>
        <v>349.54349778228197</v>
      </c>
      <c r="J8" s="2">
        <f>data!$G8*$H8*F9+J7</f>
        <v>338.8285536282512</v>
      </c>
      <c r="K8" s="2">
        <f>data!$G8*$H8*E9*data!$D8+K7</f>
        <v>1331.4131328583312</v>
      </c>
      <c r="L8" s="2">
        <f>data!$G8*$H8*F9*data!$D8+L7</f>
        <v>1293.2418090171686</v>
      </c>
    </row>
    <row r="9" spans="1:18" x14ac:dyDescent="0.3">
      <c r="A9" s="30">
        <f>data!J7</f>
        <v>1.050503E-2</v>
      </c>
      <c r="B9" s="2">
        <f>B10*EXP(-(data!F9+$A$2))</f>
        <v>827.53371315724314</v>
      </c>
      <c r="C9" s="2">
        <f>C8*EXP(data!F8-0.5*data!$B$7^2)</f>
        <v>182.17945233150778</v>
      </c>
      <c r="D9" s="2">
        <f t="shared" si="0"/>
        <v>1009.713165488751</v>
      </c>
      <c r="E9" s="2">
        <f t="shared" si="2"/>
        <v>1000</v>
      </c>
      <c r="F9" s="2">
        <f t="shared" si="1"/>
        <v>979.59158345521655</v>
      </c>
      <c r="G9" s="1">
        <f>G8*(1-A10)*(1-data!K8)</f>
        <v>0.65521079986895314</v>
      </c>
      <c r="H9" s="10">
        <f>(A11+data!K9*(1-A11))*G9</f>
        <v>4.0790646306049581E-2</v>
      </c>
      <c r="I9" s="2">
        <f>data!$G9*$H9*E10+I8</f>
        <v>390.71466491505953</v>
      </c>
      <c r="J9" s="2">
        <f>data!$G9*$H9*F10+J8</f>
        <v>379.52633098354676</v>
      </c>
      <c r="K9" s="2">
        <f>data!$G9*$H9*E10*data!$D9+K8</f>
        <v>1660.7824699205514</v>
      </c>
      <c r="L9" s="2">
        <f>data!$G9*$H9*F10*data!$D9+L8</f>
        <v>1618.8240278595331</v>
      </c>
    </row>
    <row r="10" spans="1:18" x14ac:dyDescent="0.3">
      <c r="A10" s="30">
        <f>data!J8</f>
        <v>1.1577019999999999E-2</v>
      </c>
      <c r="B10" s="2">
        <f>B11*EXP(-(data!F10+$A$2))</f>
        <v>837.69645352899374</v>
      </c>
      <c r="C10" s="2">
        <f>C9*EXP(data!F9-0.5*data!$B$7^2)</f>
        <v>181.0968516206469</v>
      </c>
      <c r="D10" s="2">
        <f t="shared" si="0"/>
        <v>1018.7933051496407</v>
      </c>
      <c r="E10" s="2">
        <f t="shared" si="2"/>
        <v>1000</v>
      </c>
      <c r="F10" s="2">
        <f t="shared" si="1"/>
        <v>988.5019101849781</v>
      </c>
      <c r="G10" s="1">
        <f>G9*(1-A11)*(1-data!K9)</f>
        <v>0.61442015356290347</v>
      </c>
      <c r="H10" s="10">
        <f>(A12+data!K10*(1-A12))*G10</f>
        <v>3.8986566988318178E-2</v>
      </c>
      <c r="I10" s="2">
        <f>data!$G10*$H10*E11+I9</f>
        <v>429.89121921524804</v>
      </c>
      <c r="J10" s="2">
        <f>data!$G10*$H10*F11+J9</f>
        <v>418.56777802334017</v>
      </c>
      <c r="K10" s="2">
        <f>data!$G10*$H10*E11*data!$D10+K9</f>
        <v>2013.3714586222479</v>
      </c>
      <c r="L10" s="2">
        <f>data!$G10*$H10*F11*data!$D10+L9</f>
        <v>1970.1970512176736</v>
      </c>
    </row>
    <row r="11" spans="1:18" x14ac:dyDescent="0.3">
      <c r="A11" s="30">
        <f>data!J9</f>
        <v>1.29008E-2</v>
      </c>
      <c r="B11" s="2">
        <f>B12*EXP(-(data!F11+$A$2))</f>
        <v>847.2502154423895</v>
      </c>
      <c r="C11" s="2">
        <f>C10*EXP(data!F10-0.5*data!$B$7^2)</f>
        <v>179.86490725730363</v>
      </c>
      <c r="D11" s="2">
        <f t="shared" si="0"/>
        <v>1027.1151226996931</v>
      </c>
      <c r="E11" s="2">
        <f t="shared" si="2"/>
        <v>1000</v>
      </c>
      <c r="F11" s="2">
        <f t="shared" si="1"/>
        <v>996.5513235452039</v>
      </c>
      <c r="G11" s="1">
        <f>G10*(1-A12)*(1-data!K10)</f>
        <v>0.57543358657458532</v>
      </c>
      <c r="H11" s="10">
        <f>(A13+data!K11*(1-A13))*G11</f>
        <v>3.7404121371810956E-2</v>
      </c>
      <c r="I11" s="2">
        <f>data!$G11*$H11*E12+I10</f>
        <v>467.49202428396853</v>
      </c>
      <c r="J11" s="2">
        <f>data!$G11*$H11*F12+J10</f>
        <v>456.16858309206066</v>
      </c>
      <c r="K11" s="2">
        <f>data!$G11*$H11*E12*data!$D11+K10</f>
        <v>2389.3795093094527</v>
      </c>
      <c r="L11" s="2">
        <f>data!$G11*$H11*F12*data!$D11+L10</f>
        <v>2346.2051019048786</v>
      </c>
    </row>
    <row r="12" spans="1:18" x14ac:dyDescent="0.3">
      <c r="A12" s="30">
        <f>data!J10</f>
        <v>1.416065E-2</v>
      </c>
      <c r="B12" s="2">
        <f>B13*EXP(-(data!F12+$A$2))</f>
        <v>859.08970000200384</v>
      </c>
      <c r="C12" s="2">
        <f>C11*EXP(data!F11-0.5*data!$B$7^2)</f>
        <v>179.09513517496339</v>
      </c>
      <c r="D12" s="2">
        <f t="shared" si="0"/>
        <v>1038.1848351769672</v>
      </c>
      <c r="E12" s="2">
        <f t="shared" si="2"/>
        <v>1007.3713814959765</v>
      </c>
      <c r="F12" s="2">
        <f t="shared" si="1"/>
        <v>1007.3713814959765</v>
      </c>
      <c r="G12" s="1">
        <f>G11*(1-A13)*(1-data!K11)</f>
        <v>0.53802946520277439</v>
      </c>
      <c r="H12" s="10">
        <f>(A14+data!K12*(1-A14))*G12</f>
        <v>3.5418961230669996E-2</v>
      </c>
      <c r="I12" s="2">
        <f>data!$G12*$H12*E13+I11</f>
        <v>503.23335941198849</v>
      </c>
      <c r="J12" s="2">
        <f>data!$G12*$H12*F13+J11</f>
        <v>491.90991822008061</v>
      </c>
      <c r="K12" s="2">
        <f>data!$G12*$H12*E13*data!$D12+K11</f>
        <v>2782.5341957176724</v>
      </c>
      <c r="L12" s="2">
        <f>data!$G12*$H12*F13*data!$D12+L11</f>
        <v>2739.3597883130983</v>
      </c>
    </row>
    <row r="13" spans="1:18" x14ac:dyDescent="0.3">
      <c r="A13" s="30">
        <f>data!J11</f>
        <v>1.579119E-2</v>
      </c>
      <c r="B13" s="2">
        <f>B14*EXP(-(data!F13+$A$2))</f>
        <v>871.34306360641722</v>
      </c>
      <c r="C13" s="2">
        <f>C12*EXP(data!F12-0.5*data!$B$7^2)</f>
        <v>178.37951637864273</v>
      </c>
      <c r="D13" s="2">
        <f t="shared" si="0"/>
        <v>1049.7225799850598</v>
      </c>
      <c r="E13" s="2">
        <f t="shared" si="2"/>
        <v>1018.5770349297509</v>
      </c>
      <c r="F13" s="2">
        <f t="shared" si="1"/>
        <v>1018.5770349297509</v>
      </c>
      <c r="G13" s="1">
        <f>G12*(1-A14)*(1-data!K12)</f>
        <v>0.50261050397210438</v>
      </c>
      <c r="H13" s="10">
        <f>(A15+data!K13*(1-A15))*G13</f>
        <v>3.3820761083078445E-2</v>
      </c>
      <c r="I13" s="2">
        <f>data!$G13*$H13*E14+I12</f>
        <v>537.49506088407202</v>
      </c>
      <c r="J13" s="2">
        <f>data!$G13*$H13*F14+J12</f>
        <v>526.17161969216409</v>
      </c>
      <c r="K13" s="2">
        <f>data!$G13*$H13*E14*data!$D13+K12</f>
        <v>3193.6746133826746</v>
      </c>
      <c r="L13" s="2">
        <f>data!$G13*$H13*F14*data!$D13+L12</f>
        <v>3150.5002059781004</v>
      </c>
    </row>
    <row r="14" spans="1:18" x14ac:dyDescent="0.3">
      <c r="A14" s="30">
        <f>data!J12</f>
        <v>1.6664100000000001E-2</v>
      </c>
      <c r="B14" s="2">
        <f>B15*EXP(-(data!F14+$A$2))</f>
        <v>884.8982087103542</v>
      </c>
      <c r="C14" s="2">
        <f>C13*EXP(data!F13-0.5*data!$B$7^2)</f>
        <v>177.89332255867487</v>
      </c>
      <c r="D14" s="2">
        <f t="shared" si="0"/>
        <v>1062.7915312690291</v>
      </c>
      <c r="E14" s="2">
        <f t="shared" si="2"/>
        <v>1031.2998538694774</v>
      </c>
      <c r="F14" s="2">
        <f t="shared" si="1"/>
        <v>1031.2998538694774</v>
      </c>
      <c r="G14" s="1">
        <f>G13*(1-A15)*(1-data!K13)</f>
        <v>0.46878974288902586</v>
      </c>
      <c r="H14" s="10">
        <f>(A16+data!K14*(1-A16))*G14</f>
        <v>3.2399880848001453E-2</v>
      </c>
      <c r="I14" s="2">
        <f>data!$G14*$H14*E15+I13</f>
        <v>570.44558267651519</v>
      </c>
      <c r="J14" s="2">
        <f>data!$G14*$H14*F15+J13</f>
        <v>559.12214148460725</v>
      </c>
      <c r="K14" s="2">
        <f>data!$G14*$H14*E15*data!$D14+K13</f>
        <v>3622.0313966844355</v>
      </c>
      <c r="L14" s="2">
        <f>data!$G14*$H14*F15*data!$D14+L13</f>
        <v>3578.8569892798614</v>
      </c>
    </row>
    <row r="15" spans="1:18" x14ac:dyDescent="0.3">
      <c r="A15" s="30">
        <f>data!J13</f>
        <v>1.8200209999999998E-2</v>
      </c>
      <c r="B15" s="2">
        <f>B16*EXP(-(data!F15+$A$2))</f>
        <v>898.64256264601602</v>
      </c>
      <c r="C15" s="2">
        <f>C14*EXP(data!F14-0.5*data!$B$7^2)</f>
        <v>177.40417729011031</v>
      </c>
      <c r="D15" s="2">
        <f t="shared" si="0"/>
        <v>1076.0467399361264</v>
      </c>
      <c r="E15" s="2">
        <f t="shared" si="2"/>
        <v>1044.1629939980555</v>
      </c>
      <c r="F15" s="2">
        <f t="shared" si="1"/>
        <v>1044.1629939980555</v>
      </c>
      <c r="G15" s="1">
        <f>G14*(1-A16)*(1-data!K14)</f>
        <v>0.43638986204102442</v>
      </c>
      <c r="H15" s="10">
        <f>(A17+data!K15*(1-A17))*G15</f>
        <v>3.124198525551795E-2</v>
      </c>
      <c r="I15" s="2">
        <f>data!$G15*$H15*E16+I14</f>
        <v>602.34449446910173</v>
      </c>
      <c r="J15" s="2">
        <f>data!$G15*$H15*F16+J14</f>
        <v>591.0210532771938</v>
      </c>
      <c r="K15" s="2">
        <f>data!$G15*$H15*E16*data!$D15+K14</f>
        <v>4068.6161617806479</v>
      </c>
      <c r="L15" s="2">
        <f>data!$G15*$H15*F16*data!$D15+L14</f>
        <v>4025.4417543760737</v>
      </c>
    </row>
    <row r="16" spans="1:18" x14ac:dyDescent="0.3">
      <c r="A16" s="30">
        <f>data!J14</f>
        <v>2.011988E-2</v>
      </c>
      <c r="B16" s="2">
        <f>B17*EXP(-(data!F16+$A$2))</f>
        <v>912.94342782753324</v>
      </c>
      <c r="C16" s="2">
        <f>C15*EXP(data!F15-0.5*data!$B$7^2)</f>
        <v>176.98287708967209</v>
      </c>
      <c r="D16" s="2">
        <f t="shared" si="0"/>
        <v>1089.9263049172052</v>
      </c>
      <c r="E16" s="2">
        <f t="shared" si="2"/>
        <v>1057.6449027191215</v>
      </c>
      <c r="F16" s="2">
        <f t="shared" si="1"/>
        <v>1057.6449027191215</v>
      </c>
      <c r="G16" s="1">
        <f>G15*(1-A17)*(1-data!K15)</f>
        <v>0.40514787678550646</v>
      </c>
      <c r="H16" s="10">
        <f>(A18+data!K16*(1-A18))*G16</f>
        <v>3.0065176974616015E-2</v>
      </c>
      <c r="I16" s="2">
        <f>data!$G16*$H16*E17+I15</f>
        <v>633.16521725288226</v>
      </c>
      <c r="J16" s="2">
        <f>data!$G16*$H16*F17+J15</f>
        <v>621.84177606097433</v>
      </c>
      <c r="K16" s="2">
        <f>data!$G16*$H16*E17*data!$D16+K15</f>
        <v>4530.9270035373565</v>
      </c>
      <c r="L16" s="2">
        <f>data!$G16*$H16*F17*data!$D16+L15</f>
        <v>4487.7525961327819</v>
      </c>
    </row>
    <row r="17" spans="1:12" x14ac:dyDescent="0.3">
      <c r="A17" s="30">
        <f>data!J15</f>
        <v>2.2728329999999998E-2</v>
      </c>
      <c r="B17" s="2">
        <f>B18*EXP(-(data!F17+$A$2))</f>
        <v>928.09821275853972</v>
      </c>
      <c r="C17" s="2">
        <f>C16*EXP(data!F16-0.5*data!$B$7^2)</f>
        <v>176.68181317458851</v>
      </c>
      <c r="D17" s="2">
        <f t="shared" si="0"/>
        <v>1104.7800259331282</v>
      </c>
      <c r="E17" s="2">
        <f t="shared" si="2"/>
        <v>1072.0822367856119</v>
      </c>
      <c r="F17" s="2">
        <f t="shared" si="1"/>
        <v>1072.0822367856119</v>
      </c>
      <c r="G17" s="1">
        <f>G16*(1-A18)*(1-data!K16)</f>
        <v>0.37508269981089043</v>
      </c>
      <c r="H17" s="10">
        <f>(A19+data!K17*(1-A19))*G17</f>
        <v>2.9282297159010724E-2</v>
      </c>
      <c r="I17" s="2">
        <f>data!$G17*$H17*E18+I16</f>
        <v>663.30295413312911</v>
      </c>
      <c r="J17" s="2">
        <f>data!$G17*$H17*F18+J16</f>
        <v>651.97951294122117</v>
      </c>
      <c r="K17" s="2">
        <f>data!$G17*$H17*E18*data!$D17+K16</f>
        <v>5013.130793621307</v>
      </c>
      <c r="L17" s="2">
        <f>data!$G17*$H17*F18*data!$D17+L16</f>
        <v>4969.9563862167324</v>
      </c>
    </row>
    <row r="18" spans="1:12" x14ac:dyDescent="0.3">
      <c r="A18" s="30">
        <f>data!J16</f>
        <v>2.5482009999999999E-2</v>
      </c>
      <c r="B18" s="2">
        <f>B19*EXP(-(data!F18+$A$2))</f>
        <v>941.6793097841371</v>
      </c>
      <c r="C18" s="2">
        <f>C17*EXP(data!F17-0.5*data!$B$7^2)</f>
        <v>176.04004315509536</v>
      </c>
      <c r="D18" s="2">
        <f t="shared" si="0"/>
        <v>1117.7193529392325</v>
      </c>
      <c r="E18" s="2">
        <f t="shared" si="2"/>
        <v>1084.5759521612388</v>
      </c>
      <c r="F18" s="2">
        <f t="shared" si="1"/>
        <v>1084.5759521612388</v>
      </c>
      <c r="G18" s="1">
        <f>G17*(1-A19)*(1-data!K17)</f>
        <v>0.34580040265187972</v>
      </c>
      <c r="H18" s="10">
        <f>(A20+data!K18*(1-A20))*G18</f>
        <v>2.797705747973871E-2</v>
      </c>
      <c r="I18" s="2">
        <f>data!$G18*$H18*E19+I17</f>
        <v>692.21400094651744</v>
      </c>
      <c r="J18" s="2">
        <f>data!$G18*$H18*F19+J17</f>
        <v>680.89055975460951</v>
      </c>
      <c r="K18" s="2">
        <f>data!$G18*$H18*E19*data!$D18+K17</f>
        <v>5504.6185894489099</v>
      </c>
      <c r="L18" s="2">
        <f>data!$G18*$H18*F19*data!$D18+L17</f>
        <v>5461.4441820443353</v>
      </c>
    </row>
    <row r="19" spans="1:12" x14ac:dyDescent="0.3">
      <c r="A19" s="30">
        <f>data!J17</f>
        <v>2.9546220000000002E-2</v>
      </c>
      <c r="B19" s="2">
        <f>B20*EXP(-(data!F19+$A$2))</f>
        <v>954.39223276911173</v>
      </c>
      <c r="C19" s="2">
        <f>C18*EXP(data!F18-0.5*data!$B$7^2)</f>
        <v>175.20474387499587</v>
      </c>
      <c r="D19" s="2">
        <f t="shared" si="0"/>
        <v>1129.5969766441076</v>
      </c>
      <c r="E19" s="2">
        <f t="shared" si="2"/>
        <v>1096.0653960559307</v>
      </c>
      <c r="F19" s="2">
        <f t="shared" si="1"/>
        <v>1096.0653960559307</v>
      </c>
      <c r="G19" s="1">
        <f>G18*(1-A20)*(1-data!K18)</f>
        <v>0.317823345172141</v>
      </c>
      <c r="H19" s="10">
        <f>(A21+data!K19*(1-A21))*G19</f>
        <v>2.6668126083849972E-2</v>
      </c>
      <c r="I19" s="2">
        <f>data!$G19*$H19*E20+I18</f>
        <v>719.88640059143904</v>
      </c>
      <c r="J19" s="2">
        <f>data!$G19*$H19*F20+J18</f>
        <v>708.56295939953111</v>
      </c>
      <c r="K19" s="2">
        <f>data!$G19*$H19*E20*data!$D19+K18</f>
        <v>6002.7217830574982</v>
      </c>
      <c r="L19" s="2">
        <f>data!$G19*$H19*F20*data!$D19+L18</f>
        <v>5959.5473756529236</v>
      </c>
    </row>
    <row r="20" spans="1:12" x14ac:dyDescent="0.3">
      <c r="A20" s="30">
        <f>data!J18</f>
        <v>3.2531810000000001E-2</v>
      </c>
      <c r="B20" s="2">
        <f>B21*EXP(-(data!F20+$A$2))</f>
        <v>967.46903157777763</v>
      </c>
      <c r="C20" s="2">
        <f>C19*EXP(data!F19-0.5*data!$B$7^2)</f>
        <v>174.40806505977133</v>
      </c>
      <c r="D20" s="2">
        <f t="shared" si="0"/>
        <v>1141.8770966375489</v>
      </c>
      <c r="E20" s="2">
        <f t="shared" si="2"/>
        <v>1107.9891873382257</v>
      </c>
      <c r="F20" s="2">
        <f t="shared" si="1"/>
        <v>1107.9891873382257</v>
      </c>
      <c r="G20" s="1">
        <f>G19*(1-A21)*(1-data!K19)</f>
        <v>0.29115521908829101</v>
      </c>
      <c r="H20" s="10">
        <f>(A22+data!K20*(1-A22))*G20</f>
        <v>2.541720397066621E-2</v>
      </c>
      <c r="I20" s="2">
        <f>data!$G20*$H20*E21+I19</f>
        <v>746.37218683200842</v>
      </c>
      <c r="J20" s="2">
        <f>data!$G20*$H20*F21+J19</f>
        <v>735.04874564010049</v>
      </c>
      <c r="K20" s="2">
        <f>data!$G20*$H20*E21*data!$D20+K19</f>
        <v>6505.9517216283166</v>
      </c>
      <c r="L20" s="2">
        <f>data!$G20*$H20*F21*data!$D20+L19</f>
        <v>6462.777314223742</v>
      </c>
    </row>
    <row r="21" spans="1:12" x14ac:dyDescent="0.3">
      <c r="A21" s="30">
        <f>data!J19</f>
        <v>3.5693309999999999E-2</v>
      </c>
      <c r="B21" s="2">
        <f>B22*EXP(-(data!F21+$A$2))</f>
        <v>982.37694602175327</v>
      </c>
      <c r="C21" s="2">
        <f>C20*EXP(data!F20-0.5*data!$B$7^2)</f>
        <v>173.90744738859118</v>
      </c>
      <c r="D21" s="2">
        <f t="shared" si="0"/>
        <v>1156.2843934103444</v>
      </c>
      <c r="E21" s="2">
        <f t="shared" si="2"/>
        <v>1122.0280805112179</v>
      </c>
      <c r="F21" s="2">
        <f t="shared" si="1"/>
        <v>1122.0280805112179</v>
      </c>
      <c r="G21" s="1">
        <f>G20*(1-A22)*(1-data!K20)</f>
        <v>0.26573801511762479</v>
      </c>
      <c r="H21" s="10">
        <f>(A23+data!K21*(1-A23))*G21</f>
        <v>2.4133412394210678E-2</v>
      </c>
      <c r="I21" s="2">
        <f>data!$G21*$H21*E22+I20</f>
        <v>771.62812626285267</v>
      </c>
      <c r="J21" s="2">
        <f>data!$G21*$H21*F22+J20</f>
        <v>760.30468507094474</v>
      </c>
      <c r="K21" s="2">
        <f>data!$G21*$H21*E22*data!$D21+K20</f>
        <v>7011.0705102452021</v>
      </c>
      <c r="L21" s="2">
        <f>data!$G21*$H21*F22*data!$D21+L20</f>
        <v>6967.8961028406275</v>
      </c>
    </row>
    <row r="22" spans="1:12" x14ac:dyDescent="0.3">
      <c r="A22" s="30">
        <f>data!J20</f>
        <v>3.9260820000000002E-2</v>
      </c>
      <c r="B22" s="2">
        <f>data!B4</f>
        <v>1000</v>
      </c>
      <c r="C22" s="2">
        <f>C21*EXP(data!F21-0.5*data!$B$7^2)</f>
        <v>173.84033303342181</v>
      </c>
      <c r="D22" s="2">
        <f t="shared" si="0"/>
        <v>1173.8403330334218</v>
      </c>
      <c r="E22" s="2">
        <f t="shared" si="2"/>
        <v>1139.1518012311114</v>
      </c>
      <c r="F22" s="2">
        <f t="shared" si="1"/>
        <v>1139.1518012311114</v>
      </c>
      <c r="G22" s="1">
        <f>G21*(1-A23)*(1-data!K21)</f>
        <v>0.24160460272341411</v>
      </c>
      <c r="H22" s="10"/>
      <c r="I22" s="8">
        <f>data!$G21*$G22*E22+I21</f>
        <v>1024.4705802400417</v>
      </c>
      <c r="J22" s="8">
        <f>data!$G21*$G22*F22+J21</f>
        <v>1013.1471390481337</v>
      </c>
      <c r="K22" s="2">
        <f>data!$G21*$G22*E22*data!$D21+K21</f>
        <v>12067.91958978898</v>
      </c>
      <c r="L22" s="2">
        <f>data!$G21*$G22*F22*data!$D21+L21</f>
        <v>12024.745182384406</v>
      </c>
    </row>
    <row r="23" spans="1:12" x14ac:dyDescent="0.3">
      <c r="A23" s="30">
        <f>data!J21</f>
        <v>4.2964799999999997E-2</v>
      </c>
      <c r="K23" s="6">
        <f>K22/I22</f>
        <v>11.779664367678933</v>
      </c>
      <c r="L23" s="7">
        <f>L22/J22</f>
        <v>11.868705658767222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3FF98-B524-4B65-9A02-5A9F611C07BA}">
  <dimension ref="A1:O6"/>
  <sheetViews>
    <sheetView workbookViewId="0">
      <selection activeCell="O1" sqref="O1"/>
    </sheetView>
  </sheetViews>
  <sheetFormatPr defaultRowHeight="14.4" x14ac:dyDescent="0.3"/>
  <sheetData>
    <row r="1" spans="1:15" x14ac:dyDescent="0.3">
      <c r="A1" t="s">
        <v>32</v>
      </c>
      <c r="D1" t="s">
        <v>39</v>
      </c>
      <c r="G1" t="s">
        <v>32</v>
      </c>
      <c r="I1" t="s">
        <v>33</v>
      </c>
      <c r="L1" t="s">
        <v>39</v>
      </c>
      <c r="O1" t="s">
        <v>33</v>
      </c>
    </row>
    <row r="2" spans="1:15" x14ac:dyDescent="0.3">
      <c r="A2" s="4" cm="1">
        <f t="array" ref="A2:C2">TRANSPOSE(G2:G4)</f>
        <v>0</v>
      </c>
      <c r="B2" s="8">
        <v>6.0229607390315323</v>
      </c>
      <c r="C2" s="5">
        <v>0</v>
      </c>
      <c r="D2" s="24">
        <v>1</v>
      </c>
      <c r="E2" s="34">
        <v>0</v>
      </c>
      <c r="F2" s="25">
        <v>0.25</v>
      </c>
      <c r="G2" s="35">
        <f>mortality!Q2</f>
        <v>0</v>
      </c>
      <c r="I2" s="4" cm="1">
        <f t="array" ref="I2:K2">TRANSPOSE(O2:O4)</f>
        <v>0</v>
      </c>
      <c r="J2" s="8">
        <v>10.313318369688091</v>
      </c>
      <c r="K2" s="5">
        <v>0</v>
      </c>
      <c r="L2" s="24">
        <v>1</v>
      </c>
      <c r="M2" s="34">
        <v>0</v>
      </c>
      <c r="N2" s="25">
        <v>0.25</v>
      </c>
      <c r="O2" s="35">
        <f>mortality!R2</f>
        <v>0</v>
      </c>
    </row>
    <row r="3" spans="1:15" x14ac:dyDescent="0.3">
      <c r="D3" s="20">
        <v>0</v>
      </c>
      <c r="E3" s="33">
        <v>1</v>
      </c>
      <c r="F3" s="9">
        <v>0.25</v>
      </c>
      <c r="G3" s="36">
        <f>'lapse scr'!A2</f>
        <v>6.0229607390315323</v>
      </c>
      <c r="L3" s="20">
        <v>0</v>
      </c>
      <c r="M3" s="33">
        <v>1</v>
      </c>
      <c r="N3" s="9">
        <v>0.25</v>
      </c>
      <c r="O3" s="36">
        <f>'lapse scr'!B2</f>
        <v>10.313318369688091</v>
      </c>
    </row>
    <row r="4" spans="1:15" x14ac:dyDescent="0.3">
      <c r="D4" s="18">
        <v>0.25</v>
      </c>
      <c r="E4" s="12">
        <v>0.25</v>
      </c>
      <c r="F4" s="13">
        <v>1</v>
      </c>
      <c r="G4" s="37">
        <f>CAT!Q2</f>
        <v>0</v>
      </c>
      <c r="L4" s="18">
        <v>0.25</v>
      </c>
      <c r="M4" s="12">
        <v>0.25</v>
      </c>
      <c r="N4" s="13">
        <v>1</v>
      </c>
      <c r="O4" s="37">
        <f>CAT!R2</f>
        <v>0</v>
      </c>
    </row>
    <row r="6" spans="1:15" x14ac:dyDescent="0.3">
      <c r="A6" s="42" cm="1">
        <f t="array" ref="A6">SQRT(MMULT(MMULT(_xlfn.ANCHORARRAY(A2),D2:F4),G2:G4))</f>
        <v>6.0229607390315323</v>
      </c>
      <c r="I6" s="42" cm="1">
        <f t="array" ref="I6">SQRT(MMULT(MMULT(_xlfn.ANCHORARRAY(I2),L2:N4),O2:O4))</f>
        <v>10.313318369688091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C8BC-8F80-46B7-A35D-6FA703692140}">
  <dimension ref="A1:O6"/>
  <sheetViews>
    <sheetView workbookViewId="0">
      <selection activeCell="A6" sqref="A6"/>
    </sheetView>
  </sheetViews>
  <sheetFormatPr defaultRowHeight="14.4" x14ac:dyDescent="0.3"/>
  <cols>
    <col min="1" max="1" width="9.44140625" bestFit="1" customWidth="1"/>
  </cols>
  <sheetData>
    <row r="1" spans="1:15" x14ac:dyDescent="0.3">
      <c r="A1" t="s">
        <v>32</v>
      </c>
      <c r="D1" t="s">
        <v>39</v>
      </c>
      <c r="G1" t="s">
        <v>32</v>
      </c>
      <c r="I1" t="s">
        <v>33</v>
      </c>
      <c r="L1" t="s">
        <v>39</v>
      </c>
      <c r="O1" t="s">
        <v>33</v>
      </c>
    </row>
    <row r="2" spans="1:15" x14ac:dyDescent="0.3">
      <c r="A2" s="4" cm="1">
        <f t="array" ref="A2:C2">TRANSPOSE(G2:G4)</f>
        <v>37.215302343515532</v>
      </c>
      <c r="B2" s="8">
        <v>48.080989683845473</v>
      </c>
      <c r="C2" s="5">
        <v>91.053574558292894</v>
      </c>
      <c r="D2" s="24">
        <v>1</v>
      </c>
      <c r="E2" s="34">
        <v>0</v>
      </c>
      <c r="F2" s="25">
        <v>0</v>
      </c>
      <c r="G2" s="35">
        <f>'interest rate scr'!A2</f>
        <v>37.215302343515532</v>
      </c>
      <c r="I2" s="4" cm="1">
        <f t="array" ref="I2:K2">TRANSPOSE(O2:O4)</f>
        <v>0.89344978408780662</v>
      </c>
      <c r="J2" s="8">
        <v>11.494075704230227</v>
      </c>
      <c r="K2" s="5">
        <v>55.939095547670377</v>
      </c>
      <c r="L2" s="24">
        <v>1</v>
      </c>
      <c r="M2" s="34">
        <v>0</v>
      </c>
      <c r="N2" s="25">
        <v>0</v>
      </c>
      <c r="O2" s="35">
        <f>'interest rate scr'!B2</f>
        <v>0.89344978408780662</v>
      </c>
    </row>
    <row r="3" spans="1:15" x14ac:dyDescent="0.3">
      <c r="D3" s="20">
        <v>0</v>
      </c>
      <c r="E3" s="33">
        <v>1</v>
      </c>
      <c r="F3" s="9">
        <v>0.75</v>
      </c>
      <c r="G3" s="36">
        <f>equity!Q2</f>
        <v>48.080989683845473</v>
      </c>
      <c r="L3" s="20">
        <v>0</v>
      </c>
      <c r="M3" s="33">
        <v>1</v>
      </c>
      <c r="N3" s="9">
        <v>0.75</v>
      </c>
      <c r="O3" s="36">
        <f>equity!R2</f>
        <v>11.494075704230227</v>
      </c>
    </row>
    <row r="4" spans="1:15" x14ac:dyDescent="0.3">
      <c r="D4" s="18">
        <v>0</v>
      </c>
      <c r="E4" s="12">
        <v>0.75</v>
      </c>
      <c r="F4" s="13">
        <v>1</v>
      </c>
      <c r="G4" s="37">
        <f>spread!Q2</f>
        <v>91.053574558292894</v>
      </c>
      <c r="L4" s="18">
        <v>0</v>
      </c>
      <c r="M4" s="12">
        <v>0.75</v>
      </c>
      <c r="N4" s="13">
        <v>1</v>
      </c>
      <c r="O4" s="37">
        <f>spread!R2</f>
        <v>55.939095547670377</v>
      </c>
    </row>
    <row r="6" spans="1:15" x14ac:dyDescent="0.3">
      <c r="A6" s="41" cm="1">
        <f t="array" ref="A6">SQRT(MMULT(MMULT(_xlfn.ANCHORARRAY(A2),D2:F4),G2:G4))</f>
        <v>136.21465672188779</v>
      </c>
      <c r="I6" s="41" cm="1">
        <f t="array" ref="I6">SQRT(MMULT(MMULT(I2:K2,L2:N4),O2:O4))</f>
        <v>65.011896896485752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E5C2-E6DC-4AF2-A3DB-C4A1D08FE951}">
  <dimension ref="A1:O6"/>
  <sheetViews>
    <sheetView workbookViewId="0">
      <selection activeCell="L29" sqref="L29"/>
    </sheetView>
  </sheetViews>
  <sheetFormatPr defaultRowHeight="14.4" x14ac:dyDescent="0.3"/>
  <cols>
    <col min="1" max="1" width="9.44140625" bestFit="1" customWidth="1"/>
  </cols>
  <sheetData>
    <row r="1" spans="1:15" x14ac:dyDescent="0.3">
      <c r="A1" t="s">
        <v>32</v>
      </c>
      <c r="D1" t="s">
        <v>39</v>
      </c>
      <c r="G1" t="s">
        <v>32</v>
      </c>
      <c r="I1" t="s">
        <v>33</v>
      </c>
      <c r="L1" t="s">
        <v>39</v>
      </c>
      <c r="O1" t="s">
        <v>33</v>
      </c>
    </row>
    <row r="2" spans="1:15" x14ac:dyDescent="0.3">
      <c r="A2" s="4" cm="1">
        <f t="array" ref="A2:C2">TRANSPOSE(G2:G4)</f>
        <v>37.215302343515532</v>
      </c>
      <c r="B2" s="8">
        <v>48.080989683845473</v>
      </c>
      <c r="C2" s="5">
        <v>91.053574558292894</v>
      </c>
      <c r="D2" s="24">
        <v>1</v>
      </c>
      <c r="E2" s="34">
        <v>0.5</v>
      </c>
      <c r="F2" s="25">
        <v>0.5</v>
      </c>
      <c r="G2" s="35">
        <f>'interest rate scr'!A2</f>
        <v>37.215302343515532</v>
      </c>
      <c r="I2" s="4" cm="1">
        <f t="array" ref="I2:K2">TRANSPOSE(O2:O4)</f>
        <v>0.89344978408780662</v>
      </c>
      <c r="J2" s="8">
        <v>11.494075704230227</v>
      </c>
      <c r="K2" s="5">
        <v>55.939095547670377</v>
      </c>
      <c r="L2" s="24">
        <v>1</v>
      </c>
      <c r="M2" s="34">
        <v>0.5</v>
      </c>
      <c r="N2" s="25">
        <v>0.5</v>
      </c>
      <c r="O2" s="35">
        <f>'interest rate scr'!B2</f>
        <v>0.89344978408780662</v>
      </c>
    </row>
    <row r="3" spans="1:15" x14ac:dyDescent="0.3">
      <c r="D3" s="20">
        <v>0.5</v>
      </c>
      <c r="E3" s="33">
        <v>1</v>
      </c>
      <c r="F3" s="9">
        <v>0.75</v>
      </c>
      <c r="G3" s="36">
        <f>equity!Q2</f>
        <v>48.080989683845473</v>
      </c>
      <c r="L3" s="20">
        <v>0.5</v>
      </c>
      <c r="M3" s="33">
        <v>1</v>
      </c>
      <c r="N3" s="9">
        <v>0.75</v>
      </c>
      <c r="O3" s="36">
        <f>equity!R2</f>
        <v>11.494075704230227</v>
      </c>
    </row>
    <row r="4" spans="1:15" x14ac:dyDescent="0.3">
      <c r="D4" s="18">
        <v>0.5</v>
      </c>
      <c r="E4" s="12">
        <v>0.75</v>
      </c>
      <c r="F4" s="13">
        <v>1</v>
      </c>
      <c r="G4" s="37">
        <f>spread!Q2</f>
        <v>91.053574558292894</v>
      </c>
      <c r="L4" s="18">
        <v>0.5</v>
      </c>
      <c r="M4" s="12">
        <v>0.75</v>
      </c>
      <c r="N4" s="13">
        <v>1</v>
      </c>
      <c r="O4" s="37">
        <f>spread!R2</f>
        <v>55.939095547670377</v>
      </c>
    </row>
    <row r="6" spans="1:15" x14ac:dyDescent="0.3">
      <c r="A6" s="41" cm="1">
        <f t="array" ref="A6">SQRT(MMULT(MMULT(_xlfn.ANCHORARRAY(A2),D2:F4),G2:G4))</f>
        <v>154.05313232961606</v>
      </c>
      <c r="I6" s="42" cm="1">
        <f t="array" ref="I6">SQRT(MMULT(MMULT(I2:K2,L2:N4),O2:O4))</f>
        <v>65.473619805037984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CA87-AB01-44A5-9333-77AC53F34E0A}">
  <dimension ref="A1:B2"/>
  <sheetViews>
    <sheetView workbookViewId="0">
      <selection activeCell="P29" sqref="P29"/>
    </sheetView>
  </sheetViews>
  <sheetFormatPr defaultRowHeight="14.4" x14ac:dyDescent="0.3"/>
  <cols>
    <col min="1" max="1" width="9.44140625" bestFit="1" customWidth="1"/>
    <col min="2" max="2" width="9" bestFit="1" customWidth="1"/>
  </cols>
  <sheetData>
    <row r="1" spans="1:2" x14ac:dyDescent="0.3">
      <c r="A1" s="24" t="s">
        <v>32</v>
      </c>
      <c r="B1" s="25" t="s">
        <v>33</v>
      </c>
    </row>
    <row r="2" spans="1:2" x14ac:dyDescent="0.3">
      <c r="A2" s="38">
        <f>MAX('market up'!A6,'market down'!A6)</f>
        <v>154.05313232961606</v>
      </c>
      <c r="B2" s="39">
        <f>MAX('market up'!I6,'market down'!I6)</f>
        <v>65.473619805037984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EA5D-C8C2-4D71-94DC-559A1E2BD1DD}">
  <dimension ref="A1:J5"/>
  <sheetViews>
    <sheetView workbookViewId="0">
      <selection activeCell="K18" sqref="K18"/>
    </sheetView>
  </sheetViews>
  <sheetFormatPr defaultRowHeight="14.4" x14ac:dyDescent="0.3"/>
  <cols>
    <col min="1" max="1" width="9.44140625" bestFit="1" customWidth="1"/>
    <col min="5" max="5" width="9.44140625" bestFit="1" customWidth="1"/>
  </cols>
  <sheetData>
    <row r="1" spans="1:10" x14ac:dyDescent="0.3">
      <c r="C1" t="s">
        <v>39</v>
      </c>
      <c r="H1" t="s">
        <v>39</v>
      </c>
    </row>
    <row r="2" spans="1:10" x14ac:dyDescent="0.3">
      <c r="A2" s="15" cm="1">
        <f t="array" ref="A2:B2">TRANSPOSE(E2:E3)</f>
        <v>154.05313232961606</v>
      </c>
      <c r="B2" s="16">
        <v>6.0229607390315323</v>
      </c>
      <c r="C2" s="24">
        <v>1</v>
      </c>
      <c r="D2" s="25">
        <v>0.25</v>
      </c>
      <c r="E2" s="40">
        <f>market!A2</f>
        <v>154.05313232961606</v>
      </c>
      <c r="F2" s="4" cm="1">
        <f t="array" ref="F2:G2">TRANSPOSE(J2:J3)</f>
        <v>65.473619805037984</v>
      </c>
      <c r="G2" s="5">
        <v>10.313318369688091</v>
      </c>
      <c r="H2" s="24">
        <v>1</v>
      </c>
      <c r="I2" s="25">
        <v>0.25</v>
      </c>
      <c r="J2" s="22">
        <f>market!B2</f>
        <v>65.473619805037984</v>
      </c>
    </row>
    <row r="3" spans="1:10" x14ac:dyDescent="0.3">
      <c r="C3" s="18">
        <v>0.25</v>
      </c>
      <c r="D3" s="13">
        <v>1</v>
      </c>
      <c r="E3" s="31">
        <f>life!A6</f>
        <v>6.0229607390315323</v>
      </c>
      <c r="H3" s="18">
        <v>0.25</v>
      </c>
      <c r="I3" s="13">
        <v>1</v>
      </c>
      <c r="J3" s="23">
        <f>life!I6</f>
        <v>10.313318369688091</v>
      </c>
    </row>
    <row r="5" spans="1:10" x14ac:dyDescent="0.3">
      <c r="A5" s="41" cm="1">
        <f t="array" ref="A5">SQRT(MMULT(MMULT(_xlfn.ANCHORARRAY(A2),C2:D3),E2:E3))</f>
        <v>155.66814581186213</v>
      </c>
      <c r="F5" s="42" cm="1">
        <f t="array" ref="F5">SQRT(MMULT(MMULT(_xlfn.ANCHORARRAY(F2),H2:I3),J2:J3))</f>
        <v>68.78069910303212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18</vt:i4>
      </vt:variant>
    </vt:vector>
  </HeadingPairs>
  <TitlesOfParts>
    <vt:vector size="18" baseType="lpstr">
      <vt:lpstr>data</vt:lpstr>
      <vt:lpstr>plain_case</vt:lpstr>
      <vt:lpstr>interest rate up</vt:lpstr>
      <vt:lpstr>interest rate down</vt:lpstr>
      <vt:lpstr>interest rate scr</vt:lpstr>
      <vt:lpstr>equity</vt:lpstr>
      <vt:lpstr>spread</vt:lpstr>
      <vt:lpstr>mortality</vt:lpstr>
      <vt:lpstr>lapse up</vt:lpstr>
      <vt:lpstr>lapse down</vt:lpstr>
      <vt:lpstr>lapse mass</vt:lpstr>
      <vt:lpstr>lapse scr</vt:lpstr>
      <vt:lpstr>CAT</vt:lpstr>
      <vt:lpstr>life</vt:lpstr>
      <vt:lpstr>market up</vt:lpstr>
      <vt:lpstr>market down</vt:lpstr>
      <vt:lpstr>market</vt:lpstr>
      <vt:lpstr>basic 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Terruzzi</dc:creator>
  <cp:lastModifiedBy>Riccardo Terruzzi</cp:lastModifiedBy>
  <dcterms:created xsi:type="dcterms:W3CDTF">2015-06-05T18:17:20Z</dcterms:created>
  <dcterms:modified xsi:type="dcterms:W3CDTF">2021-06-23T14:59:15Z</dcterms:modified>
</cp:coreProperties>
</file>