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1p\Desktop\מבוא להנדסת נתונים\תרגיל 1\"/>
    </mc:Choice>
  </mc:AlternateContent>
  <xr:revisionPtr revIDLastSave="0" documentId="13_ncr:1_{2BEE865C-4B9B-41D6-9C5E-B10AF809F338}" xr6:coauthVersionLast="45" xr6:coauthVersionMax="45" xr10:uidLastSave="{00000000-0000-0000-0000-000000000000}"/>
  <bookViews>
    <workbookView xWindow="-28920" yWindow="-120" windowWidth="29040" windowHeight="15840" activeTab="3" xr2:uid="{92421C4F-CA49-4895-8CE6-A5B80CEC1805}"/>
  </bookViews>
  <sheets>
    <sheet name="טבלה 1 מוצרי חשמל" sheetId="1" r:id="rId1"/>
    <sheet name="טבלה 2 מכירות" sheetId="2" r:id="rId2"/>
    <sheet name="גרפים" sheetId="5" r:id="rId3"/>
    <sheet name="ניתוחים נוספים" sheetId="7" r:id="rId4"/>
    <sheet name="גרף מטבלת ציר" sheetId="11" r:id="rId5"/>
    <sheet name="חבר מועדון" sheetId="4" r:id="rId6"/>
    <sheet name="יבשות" sheetId="3" r:id="rId7"/>
  </sheets>
  <calcPr calcId="191029"/>
  <pivotCaches>
    <pivotCache cacheId="11" r:id="rId8"/>
    <pivotCache cacheId="1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H2" i="1"/>
  <c r="H3" i="1"/>
  <c r="H4" i="1"/>
  <c r="H5" i="1"/>
  <c r="H6" i="1"/>
  <c r="H7" i="1"/>
  <c r="H8" i="1"/>
  <c r="H9" i="1"/>
  <c r="H10" i="1"/>
  <c r="H11" i="1"/>
  <c r="R2" i="2" l="1"/>
  <c r="R3" i="2"/>
  <c r="R4" i="2"/>
  <c r="R5" i="2"/>
  <c r="R6" i="2"/>
  <c r="R7" i="2"/>
  <c r="R8" i="2"/>
  <c r="R10" i="2"/>
  <c r="Q2" i="2"/>
  <c r="Q3" i="2"/>
  <c r="Q4" i="2"/>
  <c r="Q5" i="2"/>
  <c r="Q6" i="2"/>
  <c r="Q7" i="2"/>
  <c r="Q9" i="2"/>
  <c r="Q11" i="2"/>
  <c r="P3" i="2"/>
  <c r="P4" i="2"/>
  <c r="P6" i="2"/>
  <c r="P7" i="2"/>
  <c r="P8" i="2"/>
  <c r="P9" i="2"/>
  <c r="P10" i="2"/>
  <c r="P11" i="2"/>
  <c r="O2" i="2"/>
  <c r="O5" i="2"/>
  <c r="O8" i="2"/>
  <c r="O9" i="2"/>
  <c r="O10" i="2"/>
  <c r="O11" i="2"/>
  <c r="N2" i="2"/>
  <c r="N3" i="2"/>
  <c r="N4" i="2"/>
  <c r="N5" i="2"/>
  <c r="N6" i="2"/>
  <c r="N7" i="2"/>
  <c r="N8" i="2"/>
  <c r="N9" i="2"/>
  <c r="N10" i="2"/>
  <c r="N11" i="2"/>
  <c r="L2" i="2"/>
  <c r="L3" i="2"/>
  <c r="L4" i="2"/>
  <c r="L5" i="2"/>
  <c r="L6" i="2"/>
  <c r="L7" i="2"/>
  <c r="L8" i="2"/>
  <c r="L9" i="2"/>
  <c r="L10" i="2"/>
  <c r="L11" i="2"/>
  <c r="M2" i="2"/>
  <c r="M3" i="2"/>
  <c r="M4" i="2"/>
  <c r="M5" i="2"/>
  <c r="M6" i="2"/>
  <c r="M7" i="2"/>
  <c r="M8" i="2"/>
  <c r="M9" i="2"/>
  <c r="M10" i="2"/>
  <c r="M11" i="2"/>
  <c r="K3" i="2"/>
  <c r="K2" i="2"/>
  <c r="K4" i="2"/>
  <c r="K5" i="2"/>
  <c r="K6" i="2"/>
  <c r="K7" i="2"/>
  <c r="K8" i="2"/>
  <c r="K9" i="2"/>
  <c r="K10" i="2"/>
  <c r="K11" i="2"/>
  <c r="E2" i="1"/>
  <c r="G3" i="1" s="1"/>
  <c r="E3" i="1"/>
  <c r="F3" i="1" s="1" a="1"/>
  <c r="F3" i="1" s="1"/>
  <c r="E4" i="1"/>
  <c r="G4" i="1" s="1"/>
  <c r="E5" i="1"/>
  <c r="F3" i="2" s="1"/>
  <c r="G3" i="2" s="1"/>
  <c r="I3" i="2" s="1"/>
  <c r="E6" i="1"/>
  <c r="F6" i="1" s="1" a="1"/>
  <c r="F6" i="1" s="1"/>
  <c r="E7" i="1"/>
  <c r="F5" i="2" s="1"/>
  <c r="G5" i="2" s="1"/>
  <c r="I5" i="2" s="1"/>
  <c r="E8" i="1"/>
  <c r="F8" i="1" s="1" a="1"/>
  <c r="F8" i="1" s="1"/>
  <c r="E9" i="1"/>
  <c r="F4" i="2" s="1"/>
  <c r="G4" i="2" s="1"/>
  <c r="I4" i="2" s="1"/>
  <c r="E10" i="1"/>
  <c r="G11" i="1" s="1"/>
  <c r="E11" i="1"/>
  <c r="F9" i="2" s="1"/>
  <c r="G9" i="2" s="1"/>
  <c r="I9" i="2" s="1"/>
  <c r="F2" i="2" l="1"/>
  <c r="G2" i="2" s="1"/>
  <c r="I2" i="2" s="1"/>
  <c r="F5" i="1" a="1"/>
  <c r="F5" i="1" s="1"/>
  <c r="G2" i="1"/>
  <c r="F10" i="2"/>
  <c r="G10" i="2" s="1"/>
  <c r="I10" i="2" s="1"/>
  <c r="F10" i="1" a="1"/>
  <c r="F10" i="1" s="1"/>
  <c r="F2" i="1" a="1"/>
  <c r="F2" i="1" s="1"/>
  <c r="G10" i="1"/>
  <c r="F11" i="2"/>
  <c r="G11" i="2" s="1"/>
  <c r="I11" i="2" s="1"/>
  <c r="F11" i="1" a="1"/>
  <c r="F11" i="1" s="1"/>
  <c r="F4" i="1" a="1"/>
  <c r="F4" i="1" s="1"/>
  <c r="G7" i="1"/>
  <c r="G6" i="1"/>
  <c r="F8" i="2"/>
  <c r="G8" i="2" s="1"/>
  <c r="I8" i="2" s="1"/>
  <c r="G9" i="1"/>
  <c r="F9" i="1" a="1"/>
  <c r="F9" i="1" s="1"/>
  <c r="G5" i="1"/>
  <c r="F7" i="2"/>
  <c r="G7" i="2" s="1"/>
  <c r="I7" i="2" s="1"/>
  <c r="F6" i="2"/>
  <c r="G6" i="2" s="1"/>
  <c r="I6" i="2" s="1"/>
  <c r="G8" i="1"/>
  <c r="F7" i="1" a="1"/>
  <c r="F7" i="1" s="1"/>
  <c r="M12" i="2"/>
  <c r="K12" i="2"/>
  <c r="N12" i="2"/>
  <c r="L12" i="2"/>
  <c r="H9" i="2"/>
  <c r="H5" i="2"/>
  <c r="H4" i="2"/>
  <c r="H3" i="2"/>
  <c r="H2" i="2" l="1"/>
  <c r="P2" i="2" s="1"/>
  <c r="H10" i="2"/>
  <c r="J10" i="2" s="1"/>
  <c r="H11" i="2"/>
  <c r="J11" i="2" s="1"/>
  <c r="H6" i="2"/>
  <c r="O6" i="2" s="1"/>
  <c r="H7" i="2"/>
  <c r="J7" i="2" s="1"/>
  <c r="I12" i="2"/>
  <c r="H8" i="2"/>
  <c r="J8" i="2" s="1"/>
  <c r="J3" i="2"/>
  <c r="O3" i="2"/>
  <c r="J5" i="2"/>
  <c r="P5" i="2"/>
  <c r="P12" i="2" s="1"/>
  <c r="J9" i="2"/>
  <c r="R9" i="2"/>
  <c r="J4" i="2"/>
  <c r="O4" i="2"/>
  <c r="J2" i="2" l="1"/>
  <c r="J6" i="2"/>
  <c r="O7" i="2"/>
  <c r="O12" i="2" s="1"/>
  <c r="R11" i="2"/>
  <c r="R12" i="2" s="1"/>
  <c r="Q10" i="2"/>
  <c r="H12" i="2"/>
  <c r="Q8" i="2"/>
  <c r="J12" i="2" l="1"/>
  <c r="Q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<sst xmlns="http://schemas.openxmlformats.org/spreadsheetml/2006/main" count="147" uniqueCount="67">
  <si>
    <t>פריט</t>
  </si>
  <si>
    <t>מדינת יצור</t>
  </si>
  <si>
    <t>יבשת</t>
  </si>
  <si>
    <t>מחיר קניה (₪)</t>
  </si>
  <si>
    <t>מחיר מכירה מינימאלי (₪)</t>
  </si>
  <si>
    <t>עלות פרסום נדרש (₪)</t>
  </si>
  <si>
    <t>מדפסת</t>
  </si>
  <si>
    <t>ישראל</t>
  </si>
  <si>
    <t>אסיה</t>
  </si>
  <si>
    <t>מחשב נייד</t>
  </si>
  <si>
    <t>סין</t>
  </si>
  <si>
    <t>רדיו לרכב</t>
  </si>
  <si>
    <t>רומניה</t>
  </si>
  <si>
    <t>אירופה</t>
  </si>
  <si>
    <t>חומרת מחשב</t>
  </si>
  <si>
    <t>יפן</t>
  </si>
  <si>
    <t>טלוויזיה פלזמה</t>
  </si>
  <si>
    <t>ארצות הברית</t>
  </si>
  <si>
    <t>אמריקה</t>
  </si>
  <si>
    <t>שעון דיגיטלי</t>
  </si>
  <si>
    <t>שוויץ</t>
  </si>
  <si>
    <t>טלוויזיה LCD</t>
  </si>
  <si>
    <t>מסך מחשב</t>
  </si>
  <si>
    <t>מיני מחשב נייד</t>
  </si>
  <si>
    <t>DVD</t>
  </si>
  <si>
    <t>אוסטרליה</t>
  </si>
  <si>
    <t>מס' לקוח</t>
  </si>
  <si>
    <t>שם לקוח</t>
  </si>
  <si>
    <t>חבר מועדון</t>
  </si>
  <si>
    <t>כמות</t>
  </si>
  <si>
    <t>מחיר לפני הנחה (₪)</t>
  </si>
  <si>
    <t>מחיר לאחר הנחה (₪)</t>
  </si>
  <si>
    <t>אברהם כהן</t>
  </si>
  <si>
    <t>כן</t>
  </si>
  <si>
    <t>יצחק לוי</t>
  </si>
  <si>
    <t>לא</t>
  </si>
  <si>
    <t>יעקב בראור</t>
  </si>
  <si>
    <t>משה נחושתן</t>
  </si>
  <si>
    <t>אהרון לפידות</t>
  </si>
  <si>
    <t>יוסף גזית</t>
  </si>
  <si>
    <t>דויד כהן</t>
  </si>
  <si>
    <t>שרה עזמי</t>
  </si>
  <si>
    <t>רבקה שוורץ</t>
  </si>
  <si>
    <t>רחל עסיס</t>
  </si>
  <si>
    <t xml:space="preserve">מחיר מכירה ראשוני (₪) </t>
  </si>
  <si>
    <t>אפריקה</t>
  </si>
  <si>
    <t>סה"כ פדיון (הכנסות לפני הנחות)</t>
  </si>
  <si>
    <t>סה"כ פדיון (לאחר הנחות)</t>
  </si>
  <si>
    <t>סה"כ הנחה שהחנות נותנת</t>
  </si>
  <si>
    <t>כמות המוצרים שחברי המועדון רכשו</t>
  </si>
  <si>
    <t>מספר לקוחות חברי מועדון</t>
  </si>
  <si>
    <t>כמות המוצרים שנרכשה מקונים אחרים</t>
  </si>
  <si>
    <t>סה"כ אסיה</t>
  </si>
  <si>
    <t>סה"כ אירופה</t>
  </si>
  <si>
    <t>סה"כ אמריקה</t>
  </si>
  <si>
    <t>סה"כ אוסטרליה</t>
  </si>
  <si>
    <t>מספר  קונים אחרים</t>
  </si>
  <si>
    <t>תוויות שורה</t>
  </si>
  <si>
    <t>סכום כולל</t>
  </si>
  <si>
    <t>סכום של כמות</t>
  </si>
  <si>
    <t>ממוצע של מחיר לאחר הנחה (₪)</t>
  </si>
  <si>
    <t>סכום של כמות המוצרים שחברי המועדון רכשו</t>
  </si>
  <si>
    <t>סכום של כמות המוצרים שנרכשה מקונים אחרים</t>
  </si>
  <si>
    <t>מחיר קנייה מינימאלי</t>
  </si>
  <si>
    <t>סה"כ עלות פרסום נדרש</t>
  </si>
  <si>
    <t>סכום של מחיר קנייה מינימאלי</t>
  </si>
  <si>
    <t>סכום של סה"כ עלות פרסום נדרש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</si>
</sst>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₪&quot;* #,##0.00_-;\-&quot;₪&quot;* #,##0.00_-;_-&quot;₪&quot;* &quot;-&quot;??_-;_-@_-"/>
    <numFmt numFmtId="164" formatCode="&quot;₪&quot;#,##0.00"/>
    <numFmt numFmtId="165" formatCode="&quot;₪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2" fillId="2" borderId="7" xfId="0" applyNumberFormat="1" applyFont="1" applyFill="1" applyBorder="1" applyAlignment="1"/>
    <xf numFmtId="0" fontId="0" fillId="0" borderId="9" xfId="0" applyBorder="1" applyAlignment="1">
      <alignment horizontal="right" vertical="center"/>
    </xf>
    <xf numFmtId="0" fontId="3" fillId="0" borderId="1" xfId="0" applyFont="1" applyFill="1" applyBorder="1" applyAlignment="1">
      <alignment wrapText="1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165" fontId="2" fillId="2" borderId="8" xfId="0" applyNumberFormat="1" applyFont="1" applyFill="1" applyBorder="1" applyAlignment="1"/>
    <xf numFmtId="165" fontId="0" fillId="0" borderId="5" xfId="0" applyNumberFormat="1" applyBorder="1" applyAlignment="1">
      <alignment horizontal="right" vertical="center"/>
    </xf>
    <xf numFmtId="165" fontId="0" fillId="0" borderId="11" xfId="0" applyNumberFormat="1" applyBorder="1" applyAlignment="1">
      <alignment horizontal="right" vertical="center"/>
    </xf>
    <xf numFmtId="165" fontId="0" fillId="0" borderId="0" xfId="0" applyNumberFormat="1" applyAlignment="1">
      <alignment horizontal="right" vertical="center" wrapText="1"/>
    </xf>
    <xf numFmtId="164" fontId="0" fillId="0" borderId="7" xfId="0" applyNumberFormat="1" applyFont="1" applyBorder="1" applyAlignment="1">
      <alignment horizontal="right" vertical="center"/>
    </xf>
    <xf numFmtId="164" fontId="0" fillId="0" borderId="1" xfId="0" applyNumberFormat="1" applyFont="1" applyBorder="1" applyAlignment="1">
      <alignment horizontal="right" vertical="center"/>
    </xf>
    <xf numFmtId="164" fontId="0" fillId="0" borderId="10" xfId="0" applyNumberFormat="1" applyFon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13" xfId="0" applyBorder="1"/>
    <xf numFmtId="165" fontId="0" fillId="0" borderId="1" xfId="0" applyNumberFormat="1" applyFont="1" applyBorder="1" applyAlignment="1">
      <alignment horizontal="right" vertical="center"/>
    </xf>
    <xf numFmtId="0" fontId="3" fillId="3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right" vertical="center" wrapText="1"/>
    </xf>
    <xf numFmtId="164" fontId="2" fillId="2" borderId="7" xfId="1" applyNumberFormat="1" applyFont="1" applyFill="1" applyBorder="1" applyAlignment="1">
      <alignment wrapText="1"/>
    </xf>
    <xf numFmtId="164" fontId="0" fillId="0" borderId="0" xfId="1" applyNumberFormat="1" applyFont="1" applyAlignment="1">
      <alignment horizontal="right" vertical="center"/>
    </xf>
    <xf numFmtId="164" fontId="0" fillId="0" borderId="13" xfId="1" applyNumberFormat="1" applyFont="1" applyBorder="1"/>
    <xf numFmtId="164" fontId="0" fillId="0" borderId="0" xfId="1" applyNumberFormat="1" applyFont="1"/>
    <xf numFmtId="164" fontId="0" fillId="0" borderId="0" xfId="0" applyNumberFormat="1" applyFont="1" applyAlignment="1">
      <alignment horizontal="right" vertical="center"/>
    </xf>
    <xf numFmtId="164" fontId="0" fillId="0" borderId="13" xfId="0" applyNumberFormat="1" applyBorder="1"/>
    <xf numFmtId="0" fontId="0" fillId="0" borderId="0" xfId="0" pivotButton="1"/>
    <xf numFmtId="0" fontId="0" fillId="0" borderId="0" xfId="0" applyAlignment="1">
      <alignment horizontal="right" indent="1"/>
    </xf>
    <xf numFmtId="0" fontId="0" fillId="0" borderId="0" xfId="0" applyNumberFormat="1"/>
    <xf numFmtId="164" fontId="0" fillId="0" borderId="15" xfId="0" applyNumberFormat="1" applyBorder="1" applyAlignment="1">
      <alignment wrapText="1"/>
    </xf>
    <xf numFmtId="164" fontId="0" fillId="0" borderId="13" xfId="0" applyNumberFormat="1" applyBorder="1" applyAlignment="1">
      <alignment wrapText="1"/>
    </xf>
    <xf numFmtId="164" fontId="0" fillId="0" borderId="7" xfId="0" applyNumberFormat="1" applyBorder="1" applyAlignment="1">
      <alignment wrapText="1"/>
    </xf>
    <xf numFmtId="164" fontId="2" fillId="2" borderId="14" xfId="0" applyNumberFormat="1" applyFon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164" fontId="2" fillId="2" borderId="7" xfId="0" applyNumberFormat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right" vertical="bottom" textRotation="0" wrapText="1" indent="0" justifyLastLine="0" shrinkToFit="0" readingOrder="0"/>
    </dxf>
    <dxf>
      <numFmt numFmtId="164" formatCode="&quot;₪&quot;#,##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₪&quot;#,##0.0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₪&quot;#,##0.00"/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₪&quot;#,##0.0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₪&quot;#,##0.0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&quot;₪&quot;#,##0.00"/>
      <border diagonalUp="0" diagonalDown="0" outline="0">
        <left/>
        <right/>
        <top style="thin">
          <color indexed="64"/>
        </top>
        <bottom/>
      </border>
    </dxf>
    <dxf>
      <numFmt numFmtId="164" formatCode="&quot;₪&quot;#,##0.00"/>
      <alignment horizontal="right" vertical="center" textRotation="0" wrapText="0" indent="0" justifyLastLine="0" shrinkToFit="0" readingOrder="0"/>
    </dxf>
    <dxf>
      <numFmt numFmtId="164" formatCode="&quot;₪&quot;#,##0.00"/>
      <border diagonalUp="0" diagonalDown="0" outline="0">
        <left/>
        <right/>
        <top style="thin">
          <color indexed="64"/>
        </top>
        <bottom/>
      </border>
    </dxf>
    <dxf>
      <numFmt numFmtId="164" formatCode="&quot;₪&quot;#,##0.00"/>
      <alignment horizontal="right" vertical="center" textRotation="0" wrapText="0" indent="0" justifyLastLine="0" shrinkToFit="0" readingOrder="0"/>
    </dxf>
    <dxf>
      <numFmt numFmtId="164" formatCode="&quot;₪&quot;#,##0.00"/>
      <border diagonalUp="0" diagonalDown="0" outline="0">
        <left/>
        <right/>
        <top style="thin">
          <color indexed="64"/>
        </top>
        <bottom/>
      </border>
    </dxf>
    <dxf>
      <numFmt numFmtId="164" formatCode="&quot;₪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₪&quot;#,##0.00"/>
      <border diagonalUp="0" diagonalDown="0" outline="0">
        <left/>
        <right/>
        <top style="thin">
          <color indexed="64"/>
        </top>
        <bottom/>
      </border>
    </dxf>
    <dxf>
      <numFmt numFmtId="164" formatCode="&quot;₪&quot;#,##0.00"/>
      <alignment horizontal="right" vertical="center" textRotation="0" wrapText="0" indent="0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  <alignment horizontal="right" vertical="center" textRotation="0" wrapText="0" indent="0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  <alignment horizontal="right" vertical="center" textRotation="0" wrapText="0" indent="0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  <alignment horizontal="right" vertical="center" textRotation="0" wrapText="0" indent="0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  <alignment horizontal="right" vertical="center" textRotation="0" wrapText="0" indent="0" justifyLastLine="0" shrinkToFit="0" readingOrder="0"/>
    </dxf>
    <dxf>
      <numFmt numFmtId="164" formatCode="&quot;₪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₪&quot;#,##0.0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₪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₪&quot;#,##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₪&quot;#,##0.00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₪&quot;#,##0.0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₪&quot;#,##0.0"/>
      <alignment horizontal="righ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/>
      </border>
    </dxf>
    <dxf>
      <numFmt numFmtId="165" formatCode="&quot;₪&quot;#,##0.0"/>
      <alignment horizontal="righ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₪&quot;#,##0.00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&quot;₪&quot;#,##0.00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/>
      </border>
    </dxf>
    <dxf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pieChart>
        <c:varyColors val="1"/>
        <c:ser>
          <c:idx val="0"/>
          <c:order val="0"/>
          <c:tx>
            <c:v>התפלגות לקוחות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0C-4C6A-9604-E64AFB5755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0C-4C6A-9604-E64AFB575503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0C-4C6A-9604-E64AFB5755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('טבלה 2 מכירות'!$K$1,'טבלה 2 מכירות'!$M$1)</c:f>
              <c:strCache>
                <c:ptCount val="2"/>
                <c:pt idx="0">
                  <c:v>מספר לקוחות חברי מועדון</c:v>
                </c:pt>
                <c:pt idx="1">
                  <c:v>מספר  קונים אחרים</c:v>
                </c:pt>
              </c:strCache>
            </c:strRef>
          </c:cat>
          <c:val>
            <c:numRef>
              <c:f>('טבלה 2 מכירות'!$K$12,'טבלה 2 מכירות'!$M$12)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D4F-4CA4-912D-BBCC8166BA7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מחיר מינימלי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>
        <c:manualLayout>
          <c:layoutTarget val="inner"/>
          <c:xMode val="edge"/>
          <c:yMode val="edge"/>
          <c:x val="0.14566312115814983"/>
          <c:y val="0.15495857048956491"/>
          <c:w val="0.82434489960308399"/>
          <c:h val="0.639422459349629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'טבלה 1 מוצרי חשמל'!$A$2:$A$11</c:f>
              <c:strCache>
                <c:ptCount val="10"/>
                <c:pt idx="0">
                  <c:v>מדפסת</c:v>
                </c:pt>
                <c:pt idx="1">
                  <c:v>מחשב נייד</c:v>
                </c:pt>
                <c:pt idx="2">
                  <c:v>רדיו לרכב</c:v>
                </c:pt>
                <c:pt idx="3">
                  <c:v>חומרת מחשב</c:v>
                </c:pt>
                <c:pt idx="4">
                  <c:v>טלוויזיה פלזמה</c:v>
                </c:pt>
                <c:pt idx="5">
                  <c:v>שעון דיגיטלי</c:v>
                </c:pt>
                <c:pt idx="6">
                  <c:v>טלוויזיה LCD</c:v>
                </c:pt>
                <c:pt idx="7">
                  <c:v>מסך מחשב</c:v>
                </c:pt>
                <c:pt idx="8">
                  <c:v>מיני מחשב נייד</c:v>
                </c:pt>
                <c:pt idx="9">
                  <c:v>DVD</c:v>
                </c:pt>
              </c:strCache>
            </c:strRef>
          </c:cat>
          <c:val>
            <c:numRef>
              <c:f>'טבלה 1 מוצרי חשמל'!$F$2:$F$11</c:f>
              <c:numCache>
                <c:formatCode>"₪"#,##0.00</c:formatCode>
                <c:ptCount val="10"/>
                <c:pt idx="0">
                  <c:v>1469.3743999999999</c:v>
                </c:pt>
                <c:pt idx="1">
                  <c:v>5810.1680000000006</c:v>
                </c:pt>
                <c:pt idx="2">
                  <c:v>220.52159999999998</c:v>
                </c:pt>
                <c:pt idx="3">
                  <c:v>917.75503999999989</c:v>
                </c:pt>
                <c:pt idx="4">
                  <c:v>7150.7071999999998</c:v>
                </c:pt>
                <c:pt idx="5">
                  <c:v>206.739</c:v>
                </c:pt>
                <c:pt idx="6">
                  <c:v>6001.6736000000001</c:v>
                </c:pt>
                <c:pt idx="7">
                  <c:v>2299.2319999999995</c:v>
                </c:pt>
                <c:pt idx="8">
                  <c:v>2477.9705599999998</c:v>
                </c:pt>
                <c:pt idx="9">
                  <c:v>248.08679999999998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2-4564-9B06-2D1AC9DC2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441200"/>
        <c:axId val="895442184"/>
      </c:barChart>
      <c:catAx>
        <c:axId val="89544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95442184"/>
        <c:crosses val="autoZero"/>
        <c:auto val="1"/>
        <c:lblAlgn val="ctr"/>
        <c:lblOffset val="100"/>
        <c:noMultiLvlLbl val="0"/>
      </c:catAx>
      <c:valAx>
        <c:axId val="895442184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₪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95441200"/>
        <c:crosses val="autoZero"/>
        <c:crossBetween val="between"/>
        <c:majorUnit val="8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מכירות לפי יבשות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הכנסות לפי יבשות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'טבלה 2 מכירות'!$O$1:$R$1</c:f>
              <c:strCache>
                <c:ptCount val="4"/>
                <c:pt idx="0">
                  <c:v>סה"כ אסיה</c:v>
                </c:pt>
                <c:pt idx="1">
                  <c:v>סה"כ אירופה</c:v>
                </c:pt>
                <c:pt idx="2">
                  <c:v>סה"כ אמריקה</c:v>
                </c:pt>
                <c:pt idx="3">
                  <c:v>סה"כ אוסטרליה</c:v>
                </c:pt>
              </c:strCache>
            </c:strRef>
          </c:cat>
          <c:val>
            <c:numRef>
              <c:f>'טבלה 2 מכירות'!$O$12:$R$12</c:f>
              <c:numCache>
                <c:formatCode>"₪"#,##0.00</c:formatCode>
                <c:ptCount val="4"/>
                <c:pt idx="0">
                  <c:v>53157.312000000005</c:v>
                </c:pt>
                <c:pt idx="1">
                  <c:v>2205.2159999999999</c:v>
                </c:pt>
                <c:pt idx="2">
                  <c:v>16277.975999999999</c:v>
                </c:pt>
                <c:pt idx="3">
                  <c:v>3394.8719999999998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C-4200-B630-DCE961F94F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87096"/>
        <c:axId val="1181043328"/>
      </c:barChart>
      <c:catAx>
        <c:axId val="1089187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181043328"/>
        <c:crosses val="autoZero"/>
        <c:auto val="1"/>
        <c:lblAlgn val="ctr"/>
        <c:lblOffset val="100"/>
        <c:noMultiLvlLbl val="0"/>
      </c:catAx>
      <c:valAx>
        <c:axId val="11810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₪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89187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[תרגיל 1.xlsx]ניתוחים נוספים!PivotTable3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'ניתוחים נוספים'!$B$16</c:f>
              <c:strCache>
                <c:ptCount val="1"/>
                <c:pt idx="0">
                  <c:v>סכום של מחיר קנייה מינימאלי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'ניתוחים נוספים'!$A$17:$A$28</c:f>
              <c:multiLvlStrCache>
                <c:ptCount val="7"/>
                <c:lvl>
                  <c:pt idx="0">
                    <c:v>אוסטרליה</c:v>
                  </c:pt>
                  <c:pt idx="1">
                    <c:v>רומניה</c:v>
                  </c:pt>
                  <c:pt idx="2">
                    <c:v>שוויץ</c:v>
                  </c:pt>
                  <c:pt idx="3">
                    <c:v>ארצות הברית</c:v>
                  </c:pt>
                  <c:pt idx="4">
                    <c:v>יפן</c:v>
                  </c:pt>
                  <c:pt idx="5">
                    <c:v>ישראל</c:v>
                  </c:pt>
                  <c:pt idx="6">
                    <c:v>סין</c:v>
                  </c:pt>
                </c:lvl>
                <c:lvl>
                  <c:pt idx="0">
                    <c:v>אוסטרליה</c:v>
                  </c:pt>
                  <c:pt idx="1">
                    <c:v>אירופה</c:v>
                  </c:pt>
                  <c:pt idx="3">
                    <c:v>אמריקה</c:v>
                  </c:pt>
                  <c:pt idx="4">
                    <c:v>אסיה</c:v>
                  </c:pt>
                </c:lvl>
              </c:multiLvlStrCache>
            </c:multiLvlStrRef>
          </c:cat>
          <c:val>
            <c:numRef>
              <c:f>'ניתוחים נוספים'!$B$17:$B$28</c:f>
              <c:numCache>
                <c:formatCode>General</c:formatCode>
                <c:ptCount val="7"/>
                <c:pt idx="0">
                  <c:v>2340</c:v>
                </c:pt>
                <c:pt idx="1">
                  <c:v>320</c:v>
                </c:pt>
                <c:pt idx="2">
                  <c:v>1200</c:v>
                </c:pt>
                <c:pt idx="3">
                  <c:v>11220</c:v>
                </c:pt>
                <c:pt idx="4">
                  <c:v>2040</c:v>
                </c:pt>
                <c:pt idx="5">
                  <c:v>5500</c:v>
                </c:pt>
                <c:pt idx="6">
                  <c:v>29100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A-4F93-B214-36872B3693FD}"/>
            </c:ext>
          </c:extLst>
        </c:ser>
        <c:ser>
          <c:idx val="1"/>
          <c:order val="1"/>
          <c:tx>
            <c:strRef>
              <c:f>'ניתוחים נוספים'!$C$16</c:f>
              <c:strCache>
                <c:ptCount val="1"/>
                <c:pt idx="0">
                  <c:v>סכום של סה"כ עלות פרסום נדרש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'ניתוחים נוספים'!$A$17:$A$28</c:f>
              <c:multiLvlStrCache>
                <c:ptCount val="7"/>
                <c:lvl>
                  <c:pt idx="0">
                    <c:v>אוסטרליה</c:v>
                  </c:pt>
                  <c:pt idx="1">
                    <c:v>רומניה</c:v>
                  </c:pt>
                  <c:pt idx="2">
                    <c:v>שוויץ</c:v>
                  </c:pt>
                  <c:pt idx="3">
                    <c:v>ארצות הברית</c:v>
                  </c:pt>
                  <c:pt idx="4">
                    <c:v>יפן</c:v>
                  </c:pt>
                  <c:pt idx="5">
                    <c:v>ישראל</c:v>
                  </c:pt>
                  <c:pt idx="6">
                    <c:v>סין</c:v>
                  </c:pt>
                </c:lvl>
                <c:lvl>
                  <c:pt idx="0">
                    <c:v>אוסטרליה</c:v>
                  </c:pt>
                  <c:pt idx="1">
                    <c:v>אירופה</c:v>
                  </c:pt>
                  <c:pt idx="3">
                    <c:v>אמריקה</c:v>
                  </c:pt>
                  <c:pt idx="4">
                    <c:v>אסיה</c:v>
                  </c:pt>
                </c:lvl>
              </c:multiLvlStrCache>
            </c:multiLvlStrRef>
          </c:cat>
          <c:val>
            <c:numRef>
              <c:f>'ניתוחים נוספים'!$C$17:$C$28</c:f>
              <c:numCache>
                <c:formatCode>General</c:formatCode>
                <c:ptCount val="7"/>
                <c:pt idx="0">
                  <c:v>5346.9233999999997</c:v>
                </c:pt>
                <c:pt idx="1">
                  <c:v>9.8051200985887874</c:v>
                </c:pt>
                <c:pt idx="2">
                  <c:v>38.755803042164636</c:v>
                </c:pt>
                <c:pt idx="3">
                  <c:v>29.468709040147189</c:v>
                </c:pt>
                <c:pt idx="4">
                  <c:v>104.45759999999999</c:v>
                </c:pt>
                <c:pt idx="5">
                  <c:v>59.922700206182292</c:v>
                </c:pt>
                <c:pt idx="6">
                  <c:v>6202.17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A-4F93-B214-36872B369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92200168"/>
        <c:axId val="892199512"/>
      </c:barChart>
      <c:catAx>
        <c:axId val="89220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92199512"/>
        <c:crosses val="autoZero"/>
        <c:auto val="1"/>
        <c:lblAlgn val="ctr"/>
        <c:lblOffset val="100"/>
        <c:noMultiLvlLbl val="0"/>
      </c:catAx>
      <c:valAx>
        <c:axId val="89219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9220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103909</xdr:rowOff>
    </xdr:from>
    <xdr:to>
      <xdr:col>7</xdr:col>
      <xdr:colOff>496200</xdr:colOff>
      <xdr:row>17</xdr:row>
      <xdr:rowOff>0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FD0E0FBF-6683-4DB8-B0DF-8977ABEFC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179294</xdr:colOff>
      <xdr:row>17</xdr:row>
      <xdr:rowOff>62752</xdr:rowOff>
    </xdr:from>
    <xdr:to>
      <xdr:col>7</xdr:col>
      <xdr:colOff>601382</xdr:colOff>
      <xdr:row>31</xdr:row>
      <xdr:rowOff>190499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05C40ED9-6E05-407A-B60C-3F21E2F12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184897</xdr:colOff>
      <xdr:row>32</xdr:row>
      <xdr:rowOff>51548</xdr:rowOff>
    </xdr:from>
    <xdr:to>
      <xdr:col>7</xdr:col>
      <xdr:colOff>521073</xdr:colOff>
      <xdr:row>46</xdr:row>
      <xdr:rowOff>127748</xdr:rowOff>
    </xdr:to>
    <xdr:graphicFrame macro="">
      <xdr:nvGraphicFramePr>
        <xdr:cNvPr id="11" name="תרשים 10">
          <a:extLst>
            <a:ext uri="{FF2B5EF4-FFF2-40B4-BE49-F238E27FC236}">
              <a16:creationId xmlns:a16="http://schemas.microsoft.com/office/drawing/2014/main" id="{171D5F2B-BA37-470F-80AF-C18D24D8D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19050</xdr:colOff>
      <xdr:row>19</xdr:row>
      <xdr:rowOff>123825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07DA9CF-405B-4A20-91CE-0B1AAFF61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Paz" refreshedDate="44125.95534212963" createdVersion="6" refreshedVersion="6" minRefreshableVersion="3" recordCount="10" xr:uid="{C8062E3A-26EE-47D6-8C70-3CCBDD888F40}">
  <cacheSource type="worksheet">
    <worksheetSource name="טבלה1"/>
  </cacheSource>
  <cacheFields count="18">
    <cacheField name="מס' לקוח" numFmtId="0">
      <sharedItems containsSemiMixedTypes="0" containsString="0" containsNumber="1" containsInteger="1" minValue="123456" maxValue="954732"/>
    </cacheField>
    <cacheField name="שם לקוח" numFmtId="0">
      <sharedItems count="10">
        <s v="אברהם כהן"/>
        <s v="יצחק לוי"/>
        <s v="יעקב בראור"/>
        <s v="משה נחושתן"/>
        <s v="אהרון לפידות"/>
        <s v="יוסף גזית"/>
        <s v="דויד כהן"/>
        <s v="שרה עזמי"/>
        <s v="רבקה שוורץ"/>
        <s v="רחל עסיס"/>
      </sharedItems>
    </cacheField>
    <cacheField name="חבר מועדון" numFmtId="0">
      <sharedItems count="2">
        <s v="כן"/>
        <s v="לא"/>
      </sharedItems>
    </cacheField>
    <cacheField name="פריט" numFmtId="0">
      <sharedItems/>
    </cacheField>
    <cacheField name="כמות" numFmtId="0">
      <sharedItems containsSemiMixedTypes="0" containsString="0" containsNumber="1" containsInteger="1" minValue="1" maxValue="11"/>
    </cacheField>
    <cacheField name="מחיר לפני הנחה (₪)" numFmtId="164">
      <sharedItems containsSemiMixedTypes="0" containsString="0" containsNumber="1" minValue="217.62" maxValue="8051.94"/>
    </cacheField>
    <cacheField name="מחיר לאחר הנחה (₪)" numFmtId="165">
      <sharedItems containsSemiMixedTypes="0" containsString="0" containsNumber="1" minValue="206.739" maxValue="8051.94"/>
    </cacheField>
    <cacheField name="סה&quot;כ פדיון (הכנסות לפני הנחות)" numFmtId="164">
      <sharedItems containsSemiMixedTypes="0" containsString="0" containsNumber="1" minValue="464.25599999999997" maxValue="26984.880000000001"/>
    </cacheField>
    <cacheField name="סה&quot;כ פדיון (לאחר הנחות)" numFmtId="0">
      <sharedItems containsSemiMixedTypes="0" containsString="0" containsNumber="1" minValue="441.04319999999996" maxValue="26984.880000000001"/>
    </cacheField>
    <cacheField name="סה&quot;כ הנחה שהחנות נותנת" numFmtId="164">
      <sharedItems containsSemiMixedTypes="0" containsString="0" containsNumber="1" minValue="0" maxValue="398.97000000000116"/>
    </cacheField>
    <cacheField name="מספר לקוחות חברי מועדון" numFmtId="0">
      <sharedItems containsSemiMixedTypes="0" containsString="0" containsNumber="1" containsInteger="1" minValue="0" maxValue="1"/>
    </cacheField>
    <cacheField name="כמות המוצרים שחברי המועדון רכשו" numFmtId="0">
      <sharedItems containsSemiMixedTypes="0" containsString="0" containsNumber="1" containsInteger="1" minValue="0" maxValue="11" count="5">
        <n v="2"/>
        <n v="0"/>
        <n v="8"/>
        <n v="5"/>
        <n v="11"/>
      </sharedItems>
    </cacheField>
    <cacheField name="מספר  קונים אחרים" numFmtId="0">
      <sharedItems containsSemiMixedTypes="0" containsString="0" containsNumber="1" containsInteger="1" minValue="0" maxValue="1"/>
    </cacheField>
    <cacheField name="כמות המוצרים שנרכשה מקונים אחרים" numFmtId="0">
      <sharedItems containsSemiMixedTypes="0" containsString="0" containsNumber="1" containsInteger="1" minValue="0" maxValue="6" count="6">
        <n v="0"/>
        <n v="3"/>
        <n v="6"/>
        <n v="4"/>
        <n v="1"/>
        <n v="2"/>
      </sharedItems>
    </cacheField>
    <cacheField name="סה&quot;כ אסיה" numFmtId="164">
      <sharedItems containsSemiMixedTypes="0" containsString="0" containsNumber="1" minValue="0" maxValue="26984.880000000001"/>
    </cacheField>
    <cacheField name="סה&quot;כ אירופה" numFmtId="164">
      <sharedItems containsSemiMixedTypes="0" containsString="0" containsNumber="1" minValue="0" maxValue="1740.96"/>
    </cacheField>
    <cacheField name="סה&quot;כ אמריקה" numFmtId="164">
      <sharedItems containsSemiMixedTypes="0" containsString="0" containsNumber="1" minValue="0" maxValue="8226.0360000000001"/>
    </cacheField>
    <cacheField name="סה&quot;כ אוסטרליה" numFmtId="164">
      <sharedItems containsSemiMixedTypes="0" containsString="0" containsNumber="1" minValue="0" maxValue="2872.5839999999998"/>
    </cacheField>
  </cacheFields>
  <extLst>
    <ext xmlns:x14="http://schemas.microsoft.com/office/spreadsheetml/2009/9/main" uri="{725AE2AE-9491-48be-B2B4-4EB974FC3084}">
      <x14:pivotCacheDefinition pivotCacheId="176757149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Paz" refreshedDate="44126.726723032407" createdVersion="6" refreshedVersion="6" minRefreshableVersion="3" recordCount="10" xr:uid="{1BE5BCE1-5BCD-4409-8B45-5B553D1A68F1}">
  <cacheSource type="worksheet">
    <worksheetSource name="טבלה2"/>
  </cacheSource>
  <cacheFields count="9">
    <cacheField name="פריט" numFmtId="0">
      <sharedItems/>
    </cacheField>
    <cacheField name="מדינת יצור" numFmtId="0">
      <sharedItems count="7">
        <s v="ישראל"/>
        <s v="סין"/>
        <s v="רומניה"/>
        <s v="יפן"/>
        <s v="ארצות הברית"/>
        <s v="שוויץ"/>
        <s v="אוסטרליה"/>
      </sharedItems>
    </cacheField>
    <cacheField name="יבשת" numFmtId="0">
      <sharedItems count="4">
        <s v="אסיה"/>
        <s v="אירופה"/>
        <s v="אמריקה"/>
        <s v="אוסטרליה"/>
      </sharedItems>
    </cacheField>
    <cacheField name="מחיר קניה (₪)" numFmtId="0">
      <sharedItems containsSemiMixedTypes="0" containsString="0" containsNumber="1" containsInteger="1" minValue="150" maxValue="5550"/>
    </cacheField>
    <cacheField name="מחיר מכירה ראשוני (₪) " numFmtId="164">
      <sharedItems containsSemiMixedTypes="0" containsString="0" containsNumber="1" minValue="217.62" maxValue="8051.94"/>
    </cacheField>
    <cacheField name="מחיר מכירה מינימאלי (₪)" numFmtId="164">
      <sharedItems containsSemiMixedTypes="0" containsString="0" containsNumber="1" minValue="206.739" maxValue="7150.7071999999998"/>
    </cacheField>
    <cacheField name="עלות פרסום נדרש (₪)" numFmtId="164">
      <sharedItems containsSemiMixedTypes="0" containsString="0" containsNumber="1" minValue="4.8444753802705796" maxValue="1011.933"/>
    </cacheField>
    <cacheField name="מחיר קנייה מינימאלי" numFmtId="164">
      <sharedItems containsSemiMixedTypes="0" containsString="0" containsNumber="1" containsInteger="1" minValue="0" maxValue="18600"/>
    </cacheField>
    <cacheField name="סה&quot;כ עלות פרסום נדרש" numFmtId="164">
      <sharedItems containsSemiMixedTypes="0" containsString="0" containsNumber="1" minValue="0" maxValue="6071.5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23456"/>
    <x v="0"/>
    <x v="0"/>
    <s v="רדיו לרכב"/>
    <n v="2"/>
    <n v="232.12799999999999"/>
    <n v="220.52159999999998"/>
    <n v="464.25599999999997"/>
    <n v="441.04319999999996"/>
    <n v="23.212800000000016"/>
    <n v="1"/>
    <x v="0"/>
    <n v="0"/>
    <x v="0"/>
    <n v="0"/>
    <n v="464.25599999999997"/>
    <n v="0"/>
    <n v="0"/>
  </r>
  <r>
    <n v="457897"/>
    <x v="1"/>
    <x v="1"/>
    <s v="חומרת מחשב"/>
    <n v="3"/>
    <n v="986.54399999999987"/>
    <n v="986.54399999999987"/>
    <n v="2959.6319999999996"/>
    <n v="2959.6319999999996"/>
    <n v="0"/>
    <n v="0"/>
    <x v="1"/>
    <n v="1"/>
    <x v="1"/>
    <n v="2959.6319999999996"/>
    <n v="0"/>
    <n v="0"/>
    <n v="0"/>
  </r>
  <r>
    <n v="148259"/>
    <x v="2"/>
    <x v="1"/>
    <s v="מסך מחשב"/>
    <n v="6"/>
    <n v="2538.8999999999996"/>
    <n v="2538.8999999999996"/>
    <n v="15233.399999999998"/>
    <n v="15233.399999999998"/>
    <n v="0"/>
    <n v="0"/>
    <x v="1"/>
    <n v="1"/>
    <x v="2"/>
    <n v="15233.399999999998"/>
    <n v="0"/>
    <n v="0"/>
    <n v="0"/>
  </r>
  <r>
    <n v="357421"/>
    <x v="3"/>
    <x v="0"/>
    <s v="שעון דיגיטלי"/>
    <n v="8"/>
    <n v="217.62"/>
    <n v="206.739"/>
    <n v="1740.96"/>
    <n v="1653.912"/>
    <n v="87.048000000000002"/>
    <n v="1"/>
    <x v="2"/>
    <n v="0"/>
    <x v="0"/>
    <n v="0"/>
    <n v="1740.96"/>
    <n v="0"/>
    <n v="0"/>
  </r>
  <r>
    <n v="951368"/>
    <x v="4"/>
    <x v="0"/>
    <s v="מדפסת"/>
    <n v="5"/>
    <n v="1595.8799999999999"/>
    <n v="1516.0859999999998"/>
    <n v="7979.4"/>
    <n v="7580.4299999999985"/>
    <n v="398.97000000000116"/>
    <n v="1"/>
    <x v="3"/>
    <n v="0"/>
    <x v="0"/>
    <n v="7979.4"/>
    <n v="0"/>
    <n v="0"/>
    <n v="0"/>
  </r>
  <r>
    <n v="236574"/>
    <x v="5"/>
    <x v="1"/>
    <s v="טלוויזיה LCD"/>
    <n v="4"/>
    <n v="6746.22"/>
    <n v="6746.22"/>
    <n v="26984.880000000001"/>
    <n v="26984.880000000001"/>
    <n v="0"/>
    <n v="0"/>
    <x v="1"/>
    <n v="1"/>
    <x v="3"/>
    <n v="26984.880000000001"/>
    <n v="0"/>
    <n v="0"/>
    <n v="0"/>
  </r>
  <r>
    <n v="954732"/>
    <x v="6"/>
    <x v="1"/>
    <s v="מיני מחשב נייד"/>
    <n v="3"/>
    <n v="2742.0119999999997"/>
    <n v="2742.0119999999997"/>
    <n v="8226.0360000000001"/>
    <n v="8226.0360000000001"/>
    <n v="0"/>
    <n v="0"/>
    <x v="1"/>
    <n v="1"/>
    <x v="1"/>
    <n v="0"/>
    <n v="0"/>
    <n v="8226.0360000000001"/>
    <n v="0"/>
  </r>
  <r>
    <n v="255586"/>
    <x v="7"/>
    <x v="0"/>
    <s v="DVD"/>
    <n v="11"/>
    <n v="261.14400000000001"/>
    <n v="248.08679999999998"/>
    <n v="2872.5839999999998"/>
    <n v="2728.9548"/>
    <n v="143.62919999999986"/>
    <n v="1"/>
    <x v="4"/>
    <n v="0"/>
    <x v="0"/>
    <n v="0"/>
    <n v="0"/>
    <n v="0"/>
    <n v="2872.5839999999998"/>
  </r>
  <r>
    <n v="379155"/>
    <x v="8"/>
    <x v="1"/>
    <s v="טלוויזיה פלזמה"/>
    <n v="1"/>
    <n v="8051.94"/>
    <n v="8051.94"/>
    <n v="8051.94"/>
    <n v="8051.94"/>
    <n v="0"/>
    <n v="0"/>
    <x v="1"/>
    <n v="1"/>
    <x v="4"/>
    <n v="0"/>
    <n v="0"/>
    <n v="8051.94"/>
    <n v="0"/>
  </r>
  <r>
    <n v="867492"/>
    <x v="9"/>
    <x v="1"/>
    <s v="DVD"/>
    <n v="2"/>
    <n v="261.14400000000001"/>
    <n v="261.14400000000001"/>
    <n v="522.28800000000001"/>
    <n v="522.28800000000001"/>
    <n v="0"/>
    <n v="0"/>
    <x v="1"/>
    <n v="1"/>
    <x v="5"/>
    <n v="0"/>
    <n v="0"/>
    <n v="0"/>
    <n v="522.288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מדפסת"/>
    <x v="0"/>
    <x v="0"/>
    <n v="1100"/>
    <n v="1595.8799999999999"/>
    <n v="1469.3743999999999"/>
    <n v="11.984540041236459"/>
    <n v="5500"/>
    <n v="59.922700206182292"/>
  </r>
  <r>
    <s v="מחשב נייד"/>
    <x v="1"/>
    <x v="0"/>
    <n v="4500"/>
    <n v="6528.6"/>
    <n v="5810.1680000000006"/>
    <n v="239.38199999999998"/>
    <n v="0"/>
    <n v="0"/>
  </r>
  <r>
    <s v="רדיו לרכב"/>
    <x v="2"/>
    <x v="1"/>
    <n v="160"/>
    <n v="232.12799999999999"/>
    <n v="220.52159999999998"/>
    <n v="4.9025600492943937"/>
    <n v="320"/>
    <n v="9.8051200985887874"/>
  </r>
  <r>
    <s v="חומרת מחשב"/>
    <x v="3"/>
    <x v="0"/>
    <n v="680"/>
    <n v="986.54399999999987"/>
    <n v="917.75503999999989"/>
    <n v="34.819199999999995"/>
    <n v="2040"/>
    <n v="104.45759999999999"/>
  </r>
  <r>
    <s v="טלוויזיה פלזמה"/>
    <x v="4"/>
    <x v="2"/>
    <n v="5550"/>
    <n v="8051.94"/>
    <n v="7150.7071999999998"/>
    <n v="8.0943015016503814"/>
    <n v="5550"/>
    <n v="8.0943015016503814"/>
  </r>
  <r>
    <s v="שעון דיגיטלי"/>
    <x v="5"/>
    <x v="1"/>
    <n v="150"/>
    <n v="217.62"/>
    <n v="206.739"/>
    <n v="4.8444753802705796"/>
    <n v="1200"/>
    <n v="38.755803042164636"/>
  </r>
  <r>
    <s v="טלוויזיה LCD"/>
    <x v="1"/>
    <x v="0"/>
    <n v="4650"/>
    <n v="6746.22"/>
    <n v="6001.6736000000001"/>
    <n v="32.643000000000001"/>
    <n v="18600"/>
    <n v="130.572"/>
  </r>
  <r>
    <s v="מסך מחשב"/>
    <x v="1"/>
    <x v="0"/>
    <n v="1750"/>
    <n v="2538.8999999999996"/>
    <n v="2299.2319999999995"/>
    <n v="1011.933"/>
    <n v="10500"/>
    <n v="6071.598"/>
  </r>
  <r>
    <s v="מיני מחשב נייד"/>
    <x v="4"/>
    <x v="2"/>
    <n v="1890"/>
    <n v="2742.0119999999997"/>
    <n v="2477.9705599999998"/>
    <n v="7.124802512832269"/>
    <n v="5670"/>
    <n v="21.374407538496808"/>
  </r>
  <r>
    <s v="DVD"/>
    <x v="6"/>
    <x v="3"/>
    <n v="180"/>
    <n v="261.14400000000001"/>
    <n v="248.08679999999998"/>
    <n v="411.30179999999996"/>
    <n v="2340"/>
    <n v="5346.9233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1CB2D9-D2DD-4E4C-8D63-86DD2C2D491C}" name="PivotTable3" cacheId="15" applyNumberFormats="0" applyBorderFormats="0" applyFontFormats="0" applyPatternFormats="0" applyAlignmentFormats="0" applyWidthHeightFormats="1" dataCaption="ערכים" updatedVersion="6" minRefreshableVersion="3" useAutoFormatting="1" itemPrintTitles="1" createdVersion="6" indent="0" outline="1" outlineData="1" multipleFieldFilters="0" chartFormat="5">
  <location ref="A16:C28" firstHeaderRow="0" firstDataRow="1" firstDataCol="1"/>
  <pivotFields count="9">
    <pivotField showAll="0"/>
    <pivotField axis="axisRow" showAll="0">
      <items count="8">
        <item x="6"/>
        <item x="4"/>
        <item x="3"/>
        <item x="0"/>
        <item x="1"/>
        <item x="2"/>
        <item x="5"/>
        <item t="default"/>
      </items>
    </pivotField>
    <pivotField axis="axisRow" showAll="0" defaultSubtotal="0">
      <items count="4">
        <item x="3"/>
        <item x="1"/>
        <item x="2"/>
        <item x="0"/>
      </items>
    </pivotField>
    <pivotField showAll="0"/>
    <pivotField numFmtId="164" showAll="0"/>
    <pivotField numFmtId="164" showAll="0"/>
    <pivotField numFmtId="164" showAll="0"/>
    <pivotField dataField="1" numFmtId="164" showAll="0"/>
    <pivotField dataField="1" numFmtId="164" showAll="0"/>
  </pivotFields>
  <rowFields count="2">
    <field x="2"/>
    <field x="1"/>
  </rowFields>
  <rowItems count="12">
    <i>
      <x/>
    </i>
    <i r="1">
      <x/>
    </i>
    <i>
      <x v="1"/>
    </i>
    <i r="1">
      <x v="5"/>
    </i>
    <i r="1">
      <x v="6"/>
    </i>
    <i>
      <x v="2"/>
    </i>
    <i r="1">
      <x v="1"/>
    </i>
    <i>
      <x v="3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סכום של מחיר קנייה מינימאלי" fld="7" baseField="0" baseItem="0"/>
    <dataField name="סכום של סה&quot;כ עלות פרסום נדרש" fld="8" baseField="0" baseItem="0"/>
  </dataFields>
  <chartFormats count="2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9AED9-222B-4559-8095-9CBA34DEACD2}" name="PivotTable5" cacheId="11" applyNumberFormats="0" applyBorderFormats="0" applyFontFormats="0" applyPatternFormats="0" applyAlignmentFormats="0" applyWidthHeightFormats="1" dataCaption="ערכים" updatedVersion="6" minRefreshableVersion="3" useAutoFormatting="1" itemPrintTitles="1" createdVersion="6" indent="0" outline="1" outlineData="1" multipleFieldFilters="0">
  <location ref="A32:B33" firstHeaderRow="0" firstDataRow="1" firstDataCol="0"/>
  <pivotFields count="18">
    <pivotField showAll="0"/>
    <pivotField showAll="0">
      <items count="11">
        <item x="0"/>
        <item x="4"/>
        <item x="6"/>
        <item x="5"/>
        <item x="2"/>
        <item x="1"/>
        <item x="3"/>
        <item x="8"/>
        <item x="9"/>
        <item x="7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64" showAll="0"/>
    <pivotField numFmtId="165" showAll="0"/>
    <pivotField numFmtId="164" showAll="0"/>
    <pivotField showAll="0"/>
    <pivotField numFmtId="164" showAll="0"/>
    <pivotField showAll="0"/>
    <pivotField dataField="1" showAll="0">
      <items count="6">
        <item x="1"/>
        <item x="0"/>
        <item x="3"/>
        <item x="2"/>
        <item x="4"/>
        <item t="default"/>
      </items>
    </pivotField>
    <pivotField showAll="0"/>
    <pivotField dataField="1" showAll="0">
      <items count="7">
        <item x="0"/>
        <item x="4"/>
        <item x="5"/>
        <item x="1"/>
        <item x="3"/>
        <item x="2"/>
        <item t="default"/>
      </items>
    </pivotField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סכום של כמות המוצרים שנרכשה מקונים אחרים" fld="13" baseField="0" baseItem="0"/>
    <dataField name="סכום של כמות המוצרים שחברי המועדון רכשו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17E24-A7C0-4F29-83B6-C0324AC28DEF}" name="PivotTable1" cacheId="11" applyNumberFormats="0" applyBorderFormats="0" applyFontFormats="0" applyPatternFormats="0" applyAlignmentFormats="0" applyWidthHeightFormats="1" dataCaption="ערכים" updatedVersion="6" minRefreshableVersion="3" useAutoFormatting="1" itemPrintTitles="1" createdVersion="6" indent="0" outline="1" outlineData="1" multipleFieldFilters="0">
  <location ref="A1:C14" firstHeaderRow="0" firstDataRow="1" firstDataCol="1"/>
  <pivotFields count="18">
    <pivotField showAll="0"/>
    <pivotField axis="axisRow" showAll="0">
      <items count="11">
        <item x="0"/>
        <item x="4"/>
        <item x="6"/>
        <item x="5"/>
        <item x="2"/>
        <item x="1"/>
        <item x="3"/>
        <item x="8"/>
        <item x="9"/>
        <item x="7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  <pivotField numFmtId="164" showAll="0"/>
    <pivotField dataField="1" numFmtId="165" showAll="0"/>
    <pivotField numFmtId="164" showAll="0"/>
    <pivotField showAll="0"/>
    <pivotField numFmtId="164"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</pivotFields>
  <rowFields count="2">
    <field x="2"/>
    <field x="1"/>
  </rowFields>
  <rowItems count="13">
    <i>
      <x/>
    </i>
    <i r="1">
      <x/>
    </i>
    <i r="1">
      <x v="1"/>
    </i>
    <i r="1">
      <x v="6"/>
    </i>
    <i r="1">
      <x v="9"/>
    </i>
    <i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סכום של כמות" fld="4" baseField="0" baseItem="0"/>
    <dataField name="ממוצע של מחיר לאחר הנחה (₪)" fld="6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9C0B44-8394-47EB-B7B5-3E8F68C3C704}" name="טבלה2" displayName="טבלה2" ref="A1:I11" totalsRowShown="0" headerRowDxfId="4" dataDxfId="17" headerRowBorderDxfId="15" tableBorderDxfId="16" totalsRowBorderDxfId="14">
  <autoFilter ref="A1:I11" xr:uid="{D78396D3-62B8-4B3A-820B-B854B5D77D3A}"/>
  <tableColumns count="9">
    <tableColumn id="1" xr3:uid="{52E6A0A5-6D22-4A07-B0F2-EFFDF506271B}" name="פריט" dataDxfId="13"/>
    <tableColumn id="2" xr3:uid="{370BD767-EE6F-41D8-AF52-83E2B50846B8}" name="מדינת יצור" dataDxfId="12"/>
    <tableColumn id="3" xr3:uid="{40F0597F-E12C-48C0-BCDE-83214D107299}" name="יבשת" dataDxfId="11"/>
    <tableColumn id="4" xr3:uid="{36593DF8-9DE4-480A-917D-5DD6AB1EAC35}" name="מחיר קניה (₪)" dataDxfId="10"/>
    <tableColumn id="5" xr3:uid="{02146D6B-0E1A-47CF-9F09-42874191E4F1}" name="מחיר מכירה ראשוני (₪) " dataDxfId="9">
      <calculatedColumnFormula>(D2*1.17)*1.24</calculatedColumnFormula>
    </tableColumn>
    <tableColumn id="6" xr3:uid="{2CD3CA05-8DEB-415D-9A51-91AF8BF7671B}" name="מחיר מכירה מינימאלי (₪)" dataDxfId="8">
      <calculatedColumnFormula array="1">_xlfn.IFS(E2&lt;=500,E2*0.95,AND(E2&gt;500,E2&lt;=1500),500*0.95+(E2-500)*0.91,E2&gt;1500,500*0.95+1000*0.91+(E2-1500)*0.88)</calculatedColumnFormula>
    </tableColumn>
    <tableColumn id="7" xr3:uid="{F51D708E-5446-4BC8-9412-AAC528129482}" name="עלות פרסום נדרש (₪)" dataDxfId="7">
      <calculatedColumnFormula>IF(EXACT(B2,"ישראל"),SQRT(E2)*0.3, IF(OR(EXACT(C2,"אירופה"),EXACT(C2,"אמריקה")),LN(E2)*0.9,E1*0.15))</calculatedColumnFormula>
    </tableColumn>
    <tableColumn id="8" xr3:uid="{B1887E7C-E588-4A26-8ECA-AD5AC550CA9F}" name="מחיר קנייה מינימאלי" dataDxfId="6">
      <calculatedColumnFormula>D2*SUMIF(טבלה1[פריט], טבלה2[[#This Row],[פריט]],טבלה1[כמות])</calculatedColumnFormula>
    </tableColumn>
    <tableColumn id="9" xr3:uid="{3BA3179F-0290-4912-B353-FECFE121EC52}" name="סה&quot;כ עלות פרסום נדרש" dataDxfId="5">
      <calculatedColumnFormula>G2*SUMIF(טבלה1[פריט], טבלה2[[#This Row],[פריט]],טבלה1[כמות])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00DA8-CD8E-4FEF-910A-366421D94B03}" name="טבלה1" displayName="טבלה1" ref="A1:R12" totalsRowCount="1" headerRowDxfId="58" dataDxfId="56" headerRowBorderDxfId="57" tableBorderDxfId="55" totalsRowBorderDxfId="54">
  <autoFilter ref="A1:R11" xr:uid="{1D31F341-2987-4435-AB29-B26BC9E77C65}"/>
  <tableColumns count="18">
    <tableColumn id="1" xr3:uid="{095F02BD-4841-4E22-9A67-7EE11C6590AD}" name="מס' לקוח" dataDxfId="53" totalsRowDxfId="52"/>
    <tableColumn id="2" xr3:uid="{6BECFEE4-AFB6-42CF-A551-3A285E6552F6}" name="שם לקוח" dataDxfId="51" totalsRowDxfId="50"/>
    <tableColumn id="3" xr3:uid="{B68B7024-D0AF-4709-B8DF-B966D3D68BC8}" name="חבר מועדון" dataDxfId="49" totalsRowDxfId="48"/>
    <tableColumn id="4" xr3:uid="{9EAAE8A1-2A38-48D9-82BF-A76FEC941159}" name="פריט" dataDxfId="47" totalsRowDxfId="46"/>
    <tableColumn id="5" xr3:uid="{2BE171E8-AEF5-4F3D-A711-A57DF4D81614}" name="כמות" dataDxfId="45" totalsRowDxfId="44"/>
    <tableColumn id="6" xr3:uid="{69ECD916-B4A5-40A6-BF70-27E966480B12}" name="מחיר לפני הנחה (₪)" dataDxfId="43" totalsRowDxfId="42">
      <calculatedColumnFormula>VLOOKUP(D2,טבלה2[#All],5,FALSE)</calculatedColumnFormula>
    </tableColumn>
    <tableColumn id="7" xr3:uid="{50CB6BEF-7813-4CA2-BD31-6B54A49538FD}" name="מחיר לאחר הנחה (₪)" dataDxfId="41" totalsRowDxfId="40">
      <calculatedColumnFormula>IF(EXACT(C2,"כן"),F2*0.95,F2)</calculatedColumnFormula>
    </tableColumn>
    <tableColumn id="8" xr3:uid="{98DC5A87-FDA1-4067-8579-6D49FD28A7D2}" name="סה&quot;כ פדיון (הכנסות לפני הנחות)" totalsRowFunction="sum" dataDxfId="39" totalsRowDxfId="38">
      <calculatedColumnFormula>F2*E2</calculatedColumnFormula>
    </tableColumn>
    <tableColumn id="9" xr3:uid="{214486AA-4D1D-43F6-8785-D4F9CA27E211}" name="סה&quot;כ פדיון (לאחר הנחות)" totalsRowFunction="custom" dataDxfId="37" totalsRowDxfId="36">
      <calculatedColumnFormula>G2*E2</calculatedColumnFormula>
      <totalsRowFormula>SUM(I2:I11)</totalsRowFormula>
    </tableColumn>
    <tableColumn id="10" xr3:uid="{D084F303-18A2-4A82-A313-7D4902A4C60B}" name="סה&quot;כ הנחה שהחנות נותנת" totalsRowFunction="custom" dataDxfId="35" totalsRowDxfId="34">
      <calculatedColumnFormula>H2-I2</calculatedColumnFormula>
      <totalsRowFormula>SUM(J2:J11)</totalsRowFormula>
    </tableColumn>
    <tableColumn id="11" xr3:uid="{DE19AA37-6CAF-4D64-8BA5-BDB95D7223B4}" name="מספר לקוחות חברי מועדון" totalsRowFunction="custom" dataDxfId="33" totalsRowDxfId="32">
      <calculatedColumnFormula>IF(EXACT(C2,"כן"),1,)</calculatedColumnFormula>
      <totalsRowFormula>SUM(K2:K11)</totalsRowFormula>
    </tableColumn>
    <tableColumn id="12" xr3:uid="{5C099BD4-4FCA-47F9-A306-2C1B19B0280D}" name="כמות המוצרים שחברי המועדון רכשו" totalsRowFunction="custom" dataDxfId="31" totalsRowDxfId="30">
      <calculatedColumnFormula>IF(EXACT(C2,"כן"),E2,)</calculatedColumnFormula>
      <totalsRowFormula>SUM(L2:L11)</totalsRowFormula>
    </tableColumn>
    <tableColumn id="13" xr3:uid="{210775DF-7414-40CE-99CC-664A208812F7}" name="מספר  קונים אחרים" totalsRowFunction="custom" dataDxfId="29" totalsRowDxfId="28">
      <calculatedColumnFormula>IF(EXACT(C2,"לא"),1,)</calculatedColumnFormula>
      <totalsRowFormula>SUM(M2:M11)</totalsRowFormula>
    </tableColumn>
    <tableColumn id="14" xr3:uid="{9E60F50B-E668-42A7-8049-60D1F40F613E}" name="כמות המוצרים שנרכשה מקונים אחרים" totalsRowFunction="custom" dataDxfId="27" totalsRowDxfId="26">
      <calculatedColumnFormula>IF(EXACT(C2,"לא"),E2,)</calculatedColumnFormula>
      <totalsRowFormula>SUM(N2:N11)</totalsRowFormula>
    </tableColumn>
    <tableColumn id="16" xr3:uid="{ABEE5519-8CC2-466C-A3A2-3FEF37BB55BA}" name="סה&quot;כ אסיה" totalsRowFunction="custom" dataDxfId="25" totalsRowDxfId="24" dataCellStyle="Currency" totalsRowCellStyle="Currency">
      <calculatedColumnFormula>IF(EXACT("אסיה",VLOOKUP(D2,יבשות!$C$1:$D$10,2,FALSE)),H2,)</calculatedColumnFormula>
      <totalsRowFormula>SUM(O2:O11)</totalsRowFormula>
    </tableColumn>
    <tableColumn id="17" xr3:uid="{AD04CE3E-CFDD-43DB-BABD-921346391424}" name="סה&quot;כ אירופה" totalsRowFunction="custom" dataDxfId="23" totalsRowDxfId="22">
      <calculatedColumnFormula>IF(EXACT("אירופה",VLOOKUP(D2,יבשות!$C$1:$D$10,2,FALSE)),H2,)</calculatedColumnFormula>
      <totalsRowFormula>SUM(P2:P11)</totalsRowFormula>
    </tableColumn>
    <tableColumn id="18" xr3:uid="{7D7BDE1F-C05B-4AEE-8861-B6C06946DA64}" name="סה&quot;כ אמריקה" totalsRowFunction="custom" dataDxfId="21" totalsRowDxfId="20">
      <calculatedColumnFormula>IF(EXACT("אמריקה",VLOOKUP(D2,יבשות!$C$1:$D$10,2,FALSE)),H2,)</calculatedColumnFormula>
      <totalsRowFormula>SUM(Q2:Q11)</totalsRowFormula>
    </tableColumn>
    <tableColumn id="19" xr3:uid="{3AB69643-5CEB-43A7-8D7B-B6A5E3E30CE2}" name="סה&quot;כ אוסטרליה" totalsRowFunction="custom" dataDxfId="19" totalsRowDxfId="18">
      <calculatedColumnFormula>IF(EXACT("אוסטרליה",VLOOKUP(D2,יבשות!$C$1:$D$10,2,FALSE)),H2,)</calculatedColumnFormula>
      <totalsRowFormula>SUM(R2:R11)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391F-90DB-489B-B737-B98A070BB1FE}">
  <dimension ref="A1:I16"/>
  <sheetViews>
    <sheetView rightToLeft="1" workbookViewId="0">
      <selection activeCell="F36" sqref="F36"/>
    </sheetView>
  </sheetViews>
  <sheetFormatPr defaultRowHeight="14.5" x14ac:dyDescent="0.35"/>
  <cols>
    <col min="1" max="1" width="12.453125" style="3" bestFit="1" customWidth="1"/>
    <col min="2" max="2" width="11.81640625" style="3" customWidth="1"/>
    <col min="3" max="3" width="8.7265625" style="3" bestFit="1" customWidth="1"/>
    <col min="4" max="4" width="15.1796875" style="3" customWidth="1"/>
    <col min="5" max="5" width="22.81640625" style="4" customWidth="1"/>
    <col min="6" max="6" width="24" style="4" customWidth="1"/>
    <col min="7" max="7" width="26.7265625" style="4" bestFit="1" customWidth="1"/>
    <col min="8" max="8" width="15" style="6" bestFit="1" customWidth="1"/>
    <col min="9" max="9" width="12.54296875" bestFit="1" customWidth="1"/>
  </cols>
  <sheetData>
    <row r="1" spans="1:9" ht="29" x14ac:dyDescent="0.35">
      <c r="A1" s="58" t="s">
        <v>0</v>
      </c>
      <c r="B1" s="59" t="s">
        <v>1</v>
      </c>
      <c r="C1" s="59" t="s">
        <v>2</v>
      </c>
      <c r="D1" s="59" t="s">
        <v>3</v>
      </c>
      <c r="E1" s="60" t="s">
        <v>44</v>
      </c>
      <c r="F1" s="60" t="s">
        <v>4</v>
      </c>
      <c r="G1" s="55" t="s">
        <v>5</v>
      </c>
      <c r="H1" s="56" t="s">
        <v>63</v>
      </c>
      <c r="I1" s="57" t="s">
        <v>64</v>
      </c>
    </row>
    <row r="2" spans="1:9" x14ac:dyDescent="0.35">
      <c r="A2" s="15" t="s">
        <v>6</v>
      </c>
      <c r="B2" s="7" t="s">
        <v>7</v>
      </c>
      <c r="C2" s="7" t="s">
        <v>8</v>
      </c>
      <c r="D2" s="7">
        <v>1100</v>
      </c>
      <c r="E2" s="8">
        <f t="shared" ref="E2:E11" si="0">(D2*1.17)*1.24</f>
        <v>1595.8799999999999</v>
      </c>
      <c r="F2" s="8" cm="1">
        <f t="array" ref="F2">_xlfn.IFS(E2&lt;=500,E2*0.95,AND(E2&gt;500,E2&lt;=1500),500*0.95+(E2-500)*0.91,E2&gt;1500,500*0.95+1000*0.91+(E2-1500)*0.88)</f>
        <v>1469.3743999999999</v>
      </c>
      <c r="G2" s="52">
        <f t="shared" ref="G2:G11" si="1">IF(EXACT(B2,"ישראל"),SQRT(E2)*0.3, IF(OR(EXACT(C2,"אירופה"),EXACT(C2,"אמריקה")),LN(E2)*0.9,E1*0.15))</f>
        <v>11.984540041236459</v>
      </c>
      <c r="H2" s="8">
        <f>D2*SUMIF(טבלה1[פריט], טבלה2[[#This Row],[פריט]],טבלה1[כמות])</f>
        <v>5500</v>
      </c>
      <c r="I2" s="54">
        <f>G2*SUMIF(טבלה1[פריט], טבלה2[[#This Row],[פריט]],טבלה1[כמות])</f>
        <v>59.922700206182292</v>
      </c>
    </row>
    <row r="3" spans="1:9" x14ac:dyDescent="0.35">
      <c r="A3" s="15" t="s">
        <v>9</v>
      </c>
      <c r="B3" s="7" t="s">
        <v>10</v>
      </c>
      <c r="C3" s="7" t="s">
        <v>8</v>
      </c>
      <c r="D3" s="7">
        <v>4500</v>
      </c>
      <c r="E3" s="8">
        <f t="shared" si="0"/>
        <v>6528.6</v>
      </c>
      <c r="F3" s="8" cm="1">
        <f t="array" ref="F3">_xlfn.IFS(E3&lt;=500,E3*0.95,AND(E3&gt;500,E3&lt;=1500),500*0.95+(E3-500)*0.91,E3&gt;1500,500*0.95+1000*0.91+(E3-1500)*0.88)</f>
        <v>5810.1680000000006</v>
      </c>
      <c r="G3" s="52">
        <f t="shared" si="1"/>
        <v>239.38199999999998</v>
      </c>
      <c r="H3" s="8">
        <f>D3*SUMIF(טבלה1[פריט], טבלה2[[#This Row],[פריט]],טבלה1[כמות])</f>
        <v>0</v>
      </c>
      <c r="I3" s="8">
        <f>G3*SUMIF(טבלה1[פריט], טבלה2[[#This Row],[פריט]],טבלה1[כמות])</f>
        <v>0</v>
      </c>
    </row>
    <row r="4" spans="1:9" x14ac:dyDescent="0.35">
      <c r="A4" s="15" t="s">
        <v>11</v>
      </c>
      <c r="B4" s="7" t="s">
        <v>12</v>
      </c>
      <c r="C4" s="7" t="s">
        <v>13</v>
      </c>
      <c r="D4" s="7">
        <v>160</v>
      </c>
      <c r="E4" s="8">
        <f t="shared" si="0"/>
        <v>232.12799999999999</v>
      </c>
      <c r="F4" s="8" cm="1">
        <f t="array" ref="F4">_xlfn.IFS(E4&lt;=500,E4*0.95,AND(E4&gt;500,E4&lt;=1500),500*0.95+(E4-500)*0.91,E4&gt;1500,500*0.95+1000*0.91+(E4-1500)*0.88)</f>
        <v>220.52159999999998</v>
      </c>
      <c r="G4" s="52">
        <f t="shared" si="1"/>
        <v>4.9025600492943937</v>
      </c>
      <c r="H4" s="8">
        <f>D4*SUMIF(טבלה1[פריט], טבלה2[[#This Row],[פריט]],טבלה1[כמות])</f>
        <v>320</v>
      </c>
      <c r="I4" s="8">
        <f>G4*SUMIF(טבלה1[פריט], טבלה2[[#This Row],[פריט]],טבלה1[כמות])</f>
        <v>9.8051200985887874</v>
      </c>
    </row>
    <row r="5" spans="1:9" x14ac:dyDescent="0.35">
      <c r="A5" s="15" t="s">
        <v>14</v>
      </c>
      <c r="B5" s="7" t="s">
        <v>15</v>
      </c>
      <c r="C5" s="7" t="s">
        <v>8</v>
      </c>
      <c r="D5" s="7">
        <v>680</v>
      </c>
      <c r="E5" s="8">
        <f t="shared" si="0"/>
        <v>986.54399999999987</v>
      </c>
      <c r="F5" s="8" cm="1">
        <f t="array" ref="F5">_xlfn.IFS(E5&lt;=500,E5*0.95,AND(E5&gt;500,E5&lt;=1500),500*0.95+(E5-500)*0.91,E5&gt;1500,500*0.95+1000*0.91+(E5-1500)*0.88)</f>
        <v>917.75503999999989</v>
      </c>
      <c r="G5" s="52">
        <f t="shared" si="1"/>
        <v>34.819199999999995</v>
      </c>
      <c r="H5" s="8">
        <f>D5*SUMIF(טבלה1[פריט], טבלה2[[#This Row],[פריט]],טבלה1[כמות])</f>
        <v>2040</v>
      </c>
      <c r="I5" s="8">
        <f>G5*SUMIF(טבלה1[פריט], טבלה2[[#This Row],[פריט]],טבלה1[כמות])</f>
        <v>104.45759999999999</v>
      </c>
    </row>
    <row r="6" spans="1:9" x14ac:dyDescent="0.35">
      <c r="A6" s="15" t="s">
        <v>16</v>
      </c>
      <c r="B6" s="7" t="s">
        <v>17</v>
      </c>
      <c r="C6" s="7" t="s">
        <v>18</v>
      </c>
      <c r="D6" s="7">
        <v>5550</v>
      </c>
      <c r="E6" s="8">
        <f t="shared" si="0"/>
        <v>8051.94</v>
      </c>
      <c r="F6" s="8" cm="1">
        <f t="array" ref="F6">_xlfn.IFS(E6&lt;=500,E6*0.95,AND(E6&gt;500,E6&lt;=1500),500*0.95+(E6-500)*0.91,E6&gt;1500,500*0.95+1000*0.91+(E6-1500)*0.88)</f>
        <v>7150.7071999999998</v>
      </c>
      <c r="G6" s="52">
        <f t="shared" si="1"/>
        <v>8.0943015016503814</v>
      </c>
      <c r="H6" s="8">
        <f>D6*SUMIF(טבלה1[פריט], טבלה2[[#This Row],[פריט]],טבלה1[כמות])</f>
        <v>5550</v>
      </c>
      <c r="I6" s="8">
        <f>G6*SUMIF(טבלה1[פריט], טבלה2[[#This Row],[פריט]],טבלה1[כמות])</f>
        <v>8.0943015016503814</v>
      </c>
    </row>
    <row r="7" spans="1:9" x14ac:dyDescent="0.35">
      <c r="A7" s="15" t="s">
        <v>19</v>
      </c>
      <c r="B7" s="7" t="s">
        <v>20</v>
      </c>
      <c r="C7" s="7" t="s">
        <v>13</v>
      </c>
      <c r="D7" s="7">
        <v>150</v>
      </c>
      <c r="E7" s="8">
        <f t="shared" si="0"/>
        <v>217.62</v>
      </c>
      <c r="F7" s="8" cm="1">
        <f t="array" ref="F7">_xlfn.IFS(E7&lt;=500,E7*0.95,AND(E7&gt;500,E7&lt;=1500),500*0.95+(E7-500)*0.91,E7&gt;1500,500*0.95+1000*0.91+(E7-1500)*0.88)</f>
        <v>206.739</v>
      </c>
      <c r="G7" s="52">
        <f t="shared" si="1"/>
        <v>4.8444753802705796</v>
      </c>
      <c r="H7" s="8">
        <f>D7*SUMIF(טבלה1[פריט], טבלה2[[#This Row],[פריט]],טבלה1[כמות])</f>
        <v>1200</v>
      </c>
      <c r="I7" s="8">
        <f>G7*SUMIF(טבלה1[פריט], טבלה2[[#This Row],[פריט]],טבלה1[כמות])</f>
        <v>38.755803042164636</v>
      </c>
    </row>
    <row r="8" spans="1:9" x14ac:dyDescent="0.35">
      <c r="A8" s="15" t="s">
        <v>21</v>
      </c>
      <c r="B8" s="7" t="s">
        <v>10</v>
      </c>
      <c r="C8" s="7" t="s">
        <v>8</v>
      </c>
      <c r="D8" s="7">
        <v>4650</v>
      </c>
      <c r="E8" s="8">
        <f t="shared" si="0"/>
        <v>6746.22</v>
      </c>
      <c r="F8" s="8" cm="1">
        <f t="array" ref="F8">_xlfn.IFS(E8&lt;=500,E8*0.95,AND(E8&gt;500,E8&lt;=1500),500*0.95+(E8-500)*0.91,E8&gt;1500,500*0.95+1000*0.91+(E8-1500)*0.88)</f>
        <v>6001.6736000000001</v>
      </c>
      <c r="G8" s="52">
        <f t="shared" si="1"/>
        <v>32.643000000000001</v>
      </c>
      <c r="H8" s="8">
        <f>D8*SUMIF(טבלה1[פריט], טבלה2[[#This Row],[פריט]],טבלה1[כמות])</f>
        <v>18600</v>
      </c>
      <c r="I8" s="8">
        <f>G8*SUMIF(טבלה1[פריט], טבלה2[[#This Row],[פריט]],טבלה1[כמות])</f>
        <v>130.572</v>
      </c>
    </row>
    <row r="9" spans="1:9" x14ac:dyDescent="0.35">
      <c r="A9" s="15" t="s">
        <v>22</v>
      </c>
      <c r="B9" s="7" t="s">
        <v>10</v>
      </c>
      <c r="C9" s="7" t="s">
        <v>8</v>
      </c>
      <c r="D9" s="7">
        <v>1750</v>
      </c>
      <c r="E9" s="8">
        <f t="shared" si="0"/>
        <v>2538.8999999999996</v>
      </c>
      <c r="F9" s="8" cm="1">
        <f t="array" ref="F9">_xlfn.IFS(E9&lt;=500,E9*0.95,AND(E9&gt;500,E9&lt;=1500),500*0.95+(E9-500)*0.91,E9&gt;1500,500*0.95+1000*0.91+(E9-1500)*0.88)</f>
        <v>2299.2319999999995</v>
      </c>
      <c r="G9" s="52">
        <f t="shared" si="1"/>
        <v>1011.933</v>
      </c>
      <c r="H9" s="8">
        <f>D9*SUMIF(טבלה1[פריט], טבלה2[[#This Row],[פריט]],טבלה1[כמות])</f>
        <v>10500</v>
      </c>
      <c r="I9" s="8">
        <f>G9*SUMIF(טבלה1[פריט], טבלה2[[#This Row],[פריט]],טבלה1[כמות])</f>
        <v>6071.598</v>
      </c>
    </row>
    <row r="10" spans="1:9" x14ac:dyDescent="0.35">
      <c r="A10" s="15" t="s">
        <v>23</v>
      </c>
      <c r="B10" s="7" t="s">
        <v>17</v>
      </c>
      <c r="C10" s="7" t="s">
        <v>18</v>
      </c>
      <c r="D10" s="7">
        <v>1890</v>
      </c>
      <c r="E10" s="8">
        <f t="shared" si="0"/>
        <v>2742.0119999999997</v>
      </c>
      <c r="F10" s="8" cm="1">
        <f t="array" ref="F10">_xlfn.IFS(E10&lt;=500,E10*0.95,AND(E10&gt;500,E10&lt;=1500),500*0.95+(E10-500)*0.91,E10&gt;1500,500*0.95+1000*0.91+(E10-1500)*0.88)</f>
        <v>2477.9705599999998</v>
      </c>
      <c r="G10" s="52">
        <f t="shared" si="1"/>
        <v>7.124802512832269</v>
      </c>
      <c r="H10" s="8">
        <f>D10*SUMIF(טבלה1[פריט], טבלה2[[#This Row],[פריט]],טבלה1[כמות])</f>
        <v>5670</v>
      </c>
      <c r="I10" s="8">
        <f>G10*SUMIF(טבלה1[פריט], טבלה2[[#This Row],[פריט]],טבלה1[כמות])</f>
        <v>21.374407538496808</v>
      </c>
    </row>
    <row r="11" spans="1:9" x14ac:dyDescent="0.35">
      <c r="A11" s="11" t="s">
        <v>24</v>
      </c>
      <c r="B11" s="16" t="s">
        <v>25</v>
      </c>
      <c r="C11" s="16" t="s">
        <v>25</v>
      </c>
      <c r="D11" s="16">
        <v>180</v>
      </c>
      <c r="E11" s="17">
        <f t="shared" si="0"/>
        <v>261.14400000000001</v>
      </c>
      <c r="F11" s="17" cm="1">
        <f t="array" ref="F11">_xlfn.IFS(E11&lt;=500,E11*0.95,AND(E11&gt;500,E11&lt;=1500),500*0.95+(E11-500)*0.91,E11&gt;1500,500*0.95+1000*0.91+(E11-1500)*0.88)</f>
        <v>248.08679999999998</v>
      </c>
      <c r="G11" s="53">
        <f t="shared" si="1"/>
        <v>411.30179999999996</v>
      </c>
      <c r="H11" s="8">
        <f>D11*SUMIF(טבלה1[פריט], טבלה2[[#This Row],[פריט]],טבלה1[כמות])</f>
        <v>2340</v>
      </c>
      <c r="I11" s="17">
        <f>G11*SUMIF(טבלה1[פריט], טבלה2[[#This Row],[פריט]],טבלה1[כמות])</f>
        <v>5346.9233999999997</v>
      </c>
    </row>
    <row r="16" spans="1:9" x14ac:dyDescent="0.35">
      <c r="F16"/>
    </row>
  </sheetData>
  <dataValidations count="1">
    <dataValidation type="decimal" operator="greaterThan" allowBlank="1" showInputMessage="1" showErrorMessage="1" sqref="D2:D11" xr:uid="{9232395D-20C1-4A93-9517-99582B206D10}">
      <formula1>0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9BD708-DAF6-4908-BE43-32C4489B3721}">
          <x14:formula1>
            <xm:f>יבשות!$A$1:$A$5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F081-225D-4924-8EB8-57552AE14B0F}">
  <dimension ref="A1:R12"/>
  <sheetViews>
    <sheetView rightToLeft="1" zoomScaleNormal="100" workbookViewId="0">
      <selection activeCell="B34" sqref="B34"/>
    </sheetView>
  </sheetViews>
  <sheetFormatPr defaultRowHeight="14.5" x14ac:dyDescent="0.35"/>
  <cols>
    <col min="1" max="1" width="10.7265625" style="9" customWidth="1"/>
    <col min="2" max="2" width="11" style="9" bestFit="1" customWidth="1"/>
    <col min="3" max="3" width="12" style="9" customWidth="1"/>
    <col min="4" max="4" width="12.453125" style="9" bestFit="1" customWidth="1"/>
    <col min="5" max="5" width="9.1796875" style="9"/>
    <col min="6" max="6" width="24.7265625" style="10" bestFit="1" customWidth="1"/>
    <col min="7" max="7" width="25.81640625" style="32" bestFit="1" customWidth="1"/>
    <col min="8" max="8" width="15.81640625" bestFit="1" customWidth="1"/>
    <col min="9" max="9" width="10.7265625" bestFit="1" customWidth="1"/>
    <col min="10" max="10" width="10" bestFit="1" customWidth="1"/>
    <col min="11" max="11" width="10.54296875" bestFit="1" customWidth="1"/>
    <col min="12" max="12" width="12" bestFit="1" customWidth="1"/>
    <col min="15" max="15" width="10.7265625" style="46" bestFit="1" customWidth="1"/>
    <col min="16" max="16" width="10.453125" style="6" bestFit="1" customWidth="1"/>
    <col min="17" max="17" width="11.26953125" style="6" bestFit="1" customWidth="1"/>
    <col min="18" max="18" width="11.81640625" style="6" bestFit="1" customWidth="1"/>
  </cols>
  <sheetData>
    <row r="1" spans="1:18" ht="72.5" x14ac:dyDescent="0.35">
      <c r="A1" s="12" t="s">
        <v>26</v>
      </c>
      <c r="B1" s="13" t="s">
        <v>27</v>
      </c>
      <c r="C1" s="13" t="s">
        <v>28</v>
      </c>
      <c r="D1" s="13" t="s">
        <v>0</v>
      </c>
      <c r="E1" s="13" t="s">
        <v>29</v>
      </c>
      <c r="F1" s="21" t="s">
        <v>30</v>
      </c>
      <c r="G1" s="29" t="s">
        <v>31</v>
      </c>
      <c r="H1" s="13" t="s">
        <v>46</v>
      </c>
      <c r="I1" s="13" t="s">
        <v>47</v>
      </c>
      <c r="J1" s="13" t="s">
        <v>48</v>
      </c>
      <c r="K1" s="13" t="s">
        <v>50</v>
      </c>
      <c r="L1" s="13" t="s">
        <v>49</v>
      </c>
      <c r="M1" s="13" t="s">
        <v>56</v>
      </c>
      <c r="N1" s="13" t="s">
        <v>51</v>
      </c>
      <c r="O1" s="43" t="s">
        <v>52</v>
      </c>
      <c r="P1" s="14" t="s">
        <v>53</v>
      </c>
      <c r="Q1" s="14" t="s">
        <v>54</v>
      </c>
      <c r="R1" s="14" t="s">
        <v>55</v>
      </c>
    </row>
    <row r="2" spans="1:18" x14ac:dyDescent="0.35">
      <c r="A2" s="24">
        <v>123456</v>
      </c>
      <c r="B2" s="25" t="s">
        <v>32</v>
      </c>
      <c r="C2" s="25" t="s">
        <v>33</v>
      </c>
      <c r="D2" s="25" t="s">
        <v>11</v>
      </c>
      <c r="E2" s="25">
        <v>2</v>
      </c>
      <c r="F2" s="26">
        <f>VLOOKUP(D2,טבלה2[#All],5,FALSE)</f>
        <v>232.12799999999999</v>
      </c>
      <c r="G2" s="30">
        <f t="shared" ref="G2:G11" si="0">IF(EXACT(C2,"כן"),F2*0.95,F2)</f>
        <v>220.52159999999998</v>
      </c>
      <c r="H2" s="33">
        <f t="shared" ref="H2:H11" si="1">F2*E2</f>
        <v>464.25599999999997</v>
      </c>
      <c r="I2" s="34">
        <f t="shared" ref="I2:I11" si="2">G2*E2</f>
        <v>441.04319999999996</v>
      </c>
      <c r="J2" s="34">
        <f t="shared" ref="J2:J11" si="3">H2-I2</f>
        <v>23.212800000000016</v>
      </c>
      <c r="K2" s="37">
        <f t="shared" ref="K2:K11" si="4">IF(EXACT(C2,"כן"),1,)</f>
        <v>1</v>
      </c>
      <c r="L2" s="37">
        <f t="shared" ref="L2:L11" si="5">IF(EXACT(C2,"כן"),E2,)</f>
        <v>2</v>
      </c>
      <c r="M2" s="37">
        <f t="shared" ref="M2:M11" si="6">IF(EXACT(C2,"לא"),1,)</f>
        <v>0</v>
      </c>
      <c r="N2" s="37">
        <f>IF(EXACT(C2,"לא"),E2,)</f>
        <v>0</v>
      </c>
      <c r="O2" s="44">
        <f>IF(EXACT("אסיה",VLOOKUP(D2,יבשות!$C$1:$D$10,2,FALSE)),H2,)</f>
        <v>0</v>
      </c>
      <c r="P2" s="47">
        <f>IF(EXACT("אירופה",VLOOKUP(D2,יבשות!$C$1:$D$10,2,FALSE)),H2,)</f>
        <v>464.25599999999997</v>
      </c>
      <c r="Q2" s="47">
        <f>IF(EXACT("אמריקה",VLOOKUP(D2,יבשות!$C$1:$D$10,2,FALSE)),H2,)</f>
        <v>0</v>
      </c>
      <c r="R2" s="47">
        <f>IF(EXACT("אוסטרליה",VLOOKUP(D2,יבשות!$C$1:$D$10,2,FALSE)),H2,)</f>
        <v>0</v>
      </c>
    </row>
    <row r="3" spans="1:18" x14ac:dyDescent="0.35">
      <c r="A3" s="24">
        <v>457897</v>
      </c>
      <c r="B3" s="25" t="s">
        <v>34</v>
      </c>
      <c r="C3" s="25" t="s">
        <v>35</v>
      </c>
      <c r="D3" s="25" t="s">
        <v>14</v>
      </c>
      <c r="E3" s="25">
        <v>3</v>
      </c>
      <c r="F3" s="26">
        <f>VLOOKUP(D3,טבלה2[#All],5,FALSE)</f>
        <v>986.54399999999987</v>
      </c>
      <c r="G3" s="30">
        <f t="shared" si="0"/>
        <v>986.54399999999987</v>
      </c>
      <c r="H3" s="34">
        <f t="shared" si="1"/>
        <v>2959.6319999999996</v>
      </c>
      <c r="I3" s="39">
        <f t="shared" si="2"/>
        <v>2959.6319999999996</v>
      </c>
      <c r="J3" s="34">
        <f t="shared" si="3"/>
        <v>0</v>
      </c>
      <c r="K3" s="37">
        <f>IF(EXACT(C3,"כן"),1,)</f>
        <v>0</v>
      </c>
      <c r="L3" s="37">
        <f t="shared" si="5"/>
        <v>0</v>
      </c>
      <c r="M3" s="37">
        <f t="shared" si="6"/>
        <v>1</v>
      </c>
      <c r="N3" s="37">
        <f>IF(EXACT(C3,"לא"),E3,)</f>
        <v>3</v>
      </c>
      <c r="O3" s="44">
        <f>IF(EXACT("אסיה",VLOOKUP(D3,יבשות!$C$1:$D$10,2,FALSE)),H3,)</f>
        <v>2959.6319999999996</v>
      </c>
      <c r="P3" s="47">
        <f>IF(EXACT("אירופה",VLOOKUP(D3,יבשות!$C$1:$D$10,2,FALSE)),H3,)</f>
        <v>0</v>
      </c>
      <c r="Q3" s="47">
        <f>IF(EXACT("אמריקה",VLOOKUP(D3,יבשות!$C$1:$D$10,2,FALSE)),H3,)</f>
        <v>0</v>
      </c>
      <c r="R3" s="47">
        <f>IF(EXACT("אוסטרליה",VLOOKUP(D3,יבשות!$C$1:$D$10,2,FALSE)),H3,)</f>
        <v>0</v>
      </c>
    </row>
    <row r="4" spans="1:18" x14ac:dyDescent="0.35">
      <c r="A4" s="24">
        <v>148259</v>
      </c>
      <c r="B4" s="25" t="s">
        <v>36</v>
      </c>
      <c r="C4" s="25" t="s">
        <v>35</v>
      </c>
      <c r="D4" s="25" t="s">
        <v>22</v>
      </c>
      <c r="E4" s="25">
        <v>6</v>
      </c>
      <c r="F4" s="26">
        <f>VLOOKUP(D4,טבלה2[#All],5,FALSE)</f>
        <v>2538.8999999999996</v>
      </c>
      <c r="G4" s="30">
        <f t="shared" si="0"/>
        <v>2538.8999999999996</v>
      </c>
      <c r="H4" s="34">
        <f t="shared" si="1"/>
        <v>15233.399999999998</v>
      </c>
      <c r="I4" s="39">
        <f>G4*E4</f>
        <v>15233.399999999998</v>
      </c>
      <c r="J4" s="34">
        <f t="shared" si="3"/>
        <v>0</v>
      </c>
      <c r="K4" s="37">
        <f t="shared" si="4"/>
        <v>0</v>
      </c>
      <c r="L4" s="37">
        <f t="shared" si="5"/>
        <v>0</v>
      </c>
      <c r="M4" s="37">
        <f t="shared" si="6"/>
        <v>1</v>
      </c>
      <c r="N4" s="37">
        <f>IF(EXACT(C4,"לא"),E4,)</f>
        <v>6</v>
      </c>
      <c r="O4" s="44">
        <f>IF(EXACT("אסיה",VLOOKUP(D4,יבשות!$C$1:$D$10,2,FALSE)),H4,)</f>
        <v>15233.399999999998</v>
      </c>
      <c r="P4" s="47">
        <f>IF(EXACT("אירופה",VLOOKUP(D4,יבשות!$C$1:$D$10,2,FALSE)),H4,)</f>
        <v>0</v>
      </c>
      <c r="Q4" s="47">
        <f>IF(EXACT("אמריקה",VLOOKUP(D4,יבשות!$C$1:$D$10,2,FALSE)),H4,)</f>
        <v>0</v>
      </c>
      <c r="R4" s="47">
        <f>IF(EXACT("אוסטרליה",VLOOKUP(D4,יבשות!$C$1:$D$10,2,FALSE)),H4,)</f>
        <v>0</v>
      </c>
    </row>
    <row r="5" spans="1:18" x14ac:dyDescent="0.35">
      <c r="A5" s="24">
        <v>357421</v>
      </c>
      <c r="B5" s="25" t="s">
        <v>37</v>
      </c>
      <c r="C5" s="25" t="s">
        <v>33</v>
      </c>
      <c r="D5" s="25" t="s">
        <v>19</v>
      </c>
      <c r="E5" s="25">
        <v>8</v>
      </c>
      <c r="F5" s="26">
        <f>VLOOKUP(D5,טבלה2[#All],5,FALSE)</f>
        <v>217.62</v>
      </c>
      <c r="G5" s="30">
        <f t="shared" si="0"/>
        <v>206.739</v>
      </c>
      <c r="H5" s="34">
        <f t="shared" si="1"/>
        <v>1740.96</v>
      </c>
      <c r="I5" s="39">
        <f t="shared" si="2"/>
        <v>1653.912</v>
      </c>
      <c r="J5" s="34">
        <f t="shared" si="3"/>
        <v>87.048000000000002</v>
      </c>
      <c r="K5" s="37">
        <f t="shared" si="4"/>
        <v>1</v>
      </c>
      <c r="L5" s="37">
        <f t="shared" si="5"/>
        <v>8</v>
      </c>
      <c r="M5" s="37">
        <f t="shared" si="6"/>
        <v>0</v>
      </c>
      <c r="N5" s="37">
        <f>IF(EXACT(C5,"לא"),E5,)</f>
        <v>0</v>
      </c>
      <c r="O5" s="44">
        <f>IF(EXACT("אסיה",VLOOKUP(D5,יבשות!$C$1:$D$10,2,FALSE)),H5,)</f>
        <v>0</v>
      </c>
      <c r="P5" s="47">
        <f>IF(EXACT("אירופה",VLOOKUP(D5,יבשות!$C$1:$D$10,2,FALSE)),H5,)</f>
        <v>1740.96</v>
      </c>
      <c r="Q5" s="47">
        <f>IF(EXACT("אמריקה",VLOOKUP(D5,יבשות!$C$1:$D$10,2,FALSE)),H5,)</f>
        <v>0</v>
      </c>
      <c r="R5" s="47">
        <f>IF(EXACT("אוסטרליה",VLOOKUP(D5,יבשות!$C$1:$D$10,2,FALSE)),H5,)</f>
        <v>0</v>
      </c>
    </row>
    <row r="6" spans="1:18" x14ac:dyDescent="0.35">
      <c r="A6" s="24">
        <v>951368</v>
      </c>
      <c r="B6" s="25" t="s">
        <v>38</v>
      </c>
      <c r="C6" s="25" t="s">
        <v>33</v>
      </c>
      <c r="D6" s="25" t="s">
        <v>6</v>
      </c>
      <c r="E6" s="25">
        <v>5</v>
      </c>
      <c r="F6" s="26">
        <f>VLOOKUP(D6,טבלה2[#All],5,FALSE)</f>
        <v>1595.8799999999999</v>
      </c>
      <c r="G6" s="30">
        <f t="shared" si="0"/>
        <v>1516.0859999999998</v>
      </c>
      <c r="H6" s="34">
        <f t="shared" si="1"/>
        <v>7979.4</v>
      </c>
      <c r="I6" s="39">
        <f t="shared" si="2"/>
        <v>7580.4299999999985</v>
      </c>
      <c r="J6" s="34">
        <f t="shared" si="3"/>
        <v>398.97000000000116</v>
      </c>
      <c r="K6" s="37">
        <f t="shared" si="4"/>
        <v>1</v>
      </c>
      <c r="L6" s="37">
        <f t="shared" si="5"/>
        <v>5</v>
      </c>
      <c r="M6" s="37">
        <f t="shared" si="6"/>
        <v>0</v>
      </c>
      <c r="N6" s="37">
        <f>IF(EXACT(C6,"לא"),E6,)</f>
        <v>0</v>
      </c>
      <c r="O6" s="44">
        <f>IF(EXACT("אסיה",VLOOKUP(D6,יבשות!$C$1:$D$10,2,FALSE)),H6,)</f>
        <v>7979.4</v>
      </c>
      <c r="P6" s="47">
        <f>IF(EXACT("אירופה",VLOOKUP(D6,יבשות!$C$1:$D$10,2,FALSE)),H6,)</f>
        <v>0</v>
      </c>
      <c r="Q6" s="47">
        <f>IF(EXACT("אמריקה",VLOOKUP(D6,יבשות!$C$1:$D$10,2,FALSE)),H6,)</f>
        <v>0</v>
      </c>
      <c r="R6" s="47">
        <f>IF(EXACT("אוסטרליה",VLOOKUP(D6,יבשות!$C$1:$D$10,2,FALSE)),H6,)</f>
        <v>0</v>
      </c>
    </row>
    <row r="7" spans="1:18" x14ac:dyDescent="0.35">
      <c r="A7" s="24">
        <v>236574</v>
      </c>
      <c r="B7" s="25" t="s">
        <v>39</v>
      </c>
      <c r="C7" s="25" t="s">
        <v>35</v>
      </c>
      <c r="D7" s="25" t="s">
        <v>21</v>
      </c>
      <c r="E7" s="25">
        <v>4</v>
      </c>
      <c r="F7" s="26">
        <f>VLOOKUP(D7,טבלה2[#All],5,FALSE)</f>
        <v>6746.22</v>
      </c>
      <c r="G7" s="30">
        <f t="shared" si="0"/>
        <v>6746.22</v>
      </c>
      <c r="H7" s="34">
        <f t="shared" si="1"/>
        <v>26984.880000000001</v>
      </c>
      <c r="I7" s="39">
        <f t="shared" si="2"/>
        <v>26984.880000000001</v>
      </c>
      <c r="J7" s="34">
        <f t="shared" si="3"/>
        <v>0</v>
      </c>
      <c r="K7" s="37">
        <f t="shared" si="4"/>
        <v>0</v>
      </c>
      <c r="L7" s="37">
        <f t="shared" si="5"/>
        <v>0</v>
      </c>
      <c r="M7" s="37">
        <f t="shared" si="6"/>
        <v>1</v>
      </c>
      <c r="N7" s="37">
        <f>IF(EXACT(C7,"לא"),E7,)</f>
        <v>4</v>
      </c>
      <c r="O7" s="44">
        <f>IF(EXACT("אסיה",VLOOKUP(D7,יבשות!$C$1:$D$10,2,FALSE)),H7,)</f>
        <v>26984.880000000001</v>
      </c>
      <c r="P7" s="47">
        <f>IF(EXACT("אירופה",VLOOKUP(D7,יבשות!$C$1:$D$10,2,FALSE)),H7,)</f>
        <v>0</v>
      </c>
      <c r="Q7" s="47">
        <f>IF(EXACT("אמריקה",VLOOKUP(D7,יבשות!$C$1:$D$10,2,FALSE)),H7,)</f>
        <v>0</v>
      </c>
      <c r="R7" s="47">
        <f>IF(EXACT("אוסטרליה",VLOOKUP(D7,יבשות!$C$1:$D$10,2,FALSE)),H7,)</f>
        <v>0</v>
      </c>
    </row>
    <row r="8" spans="1:18" x14ac:dyDescent="0.35">
      <c r="A8" s="24">
        <v>954732</v>
      </c>
      <c r="B8" s="25" t="s">
        <v>40</v>
      </c>
      <c r="C8" s="25" t="s">
        <v>35</v>
      </c>
      <c r="D8" s="25" t="s">
        <v>23</v>
      </c>
      <c r="E8" s="25">
        <v>3</v>
      </c>
      <c r="F8" s="26">
        <f>VLOOKUP(D8,טבלה2[#All],5,FALSE)</f>
        <v>2742.0119999999997</v>
      </c>
      <c r="G8" s="30">
        <f t="shared" si="0"/>
        <v>2742.0119999999997</v>
      </c>
      <c r="H8" s="34">
        <f t="shared" si="1"/>
        <v>8226.0360000000001</v>
      </c>
      <c r="I8" s="39">
        <f t="shared" si="2"/>
        <v>8226.0360000000001</v>
      </c>
      <c r="J8" s="34">
        <f t="shared" si="3"/>
        <v>0</v>
      </c>
      <c r="K8" s="37">
        <f t="shared" si="4"/>
        <v>0</v>
      </c>
      <c r="L8" s="37">
        <f t="shared" si="5"/>
        <v>0</v>
      </c>
      <c r="M8" s="37">
        <f t="shared" si="6"/>
        <v>1</v>
      </c>
      <c r="N8" s="37">
        <f>IF(EXACT(C8,"לא"),E8,)</f>
        <v>3</v>
      </c>
      <c r="O8" s="44">
        <f>IF(EXACT("אסיה",VLOOKUP(D8,יבשות!$C$1:$D$10,2,FALSE)),H8,)</f>
        <v>0</v>
      </c>
      <c r="P8" s="47">
        <f>IF(EXACT("אירופה",VLOOKUP(D8,יבשות!$C$1:$D$10,2,FALSE)),H8,)</f>
        <v>0</v>
      </c>
      <c r="Q8" s="47">
        <f>IF(EXACT("אמריקה",VLOOKUP(D8,יבשות!$C$1:$D$10,2,FALSE)),H8,)</f>
        <v>8226.0360000000001</v>
      </c>
      <c r="R8" s="47">
        <f>IF(EXACT("אוסטרליה",VLOOKUP(D8,יבשות!$C$1:$D$10,2,FALSE)),H8,)</f>
        <v>0</v>
      </c>
    </row>
    <row r="9" spans="1:18" x14ac:dyDescent="0.35">
      <c r="A9" s="24">
        <v>255586</v>
      </c>
      <c r="B9" s="25" t="s">
        <v>41</v>
      </c>
      <c r="C9" s="25" t="s">
        <v>33</v>
      </c>
      <c r="D9" s="25" t="s">
        <v>24</v>
      </c>
      <c r="E9" s="25">
        <v>11</v>
      </c>
      <c r="F9" s="26">
        <f>VLOOKUP(D9,טבלה2[#All],5,FALSE)</f>
        <v>261.14400000000001</v>
      </c>
      <c r="G9" s="30">
        <f t="shared" si="0"/>
        <v>248.08679999999998</v>
      </c>
      <c r="H9" s="34">
        <f t="shared" si="1"/>
        <v>2872.5839999999998</v>
      </c>
      <c r="I9" s="39">
        <f t="shared" si="2"/>
        <v>2728.9548</v>
      </c>
      <c r="J9" s="34">
        <f t="shared" si="3"/>
        <v>143.62919999999986</v>
      </c>
      <c r="K9" s="37">
        <f t="shared" si="4"/>
        <v>1</v>
      </c>
      <c r="L9" s="37">
        <f t="shared" si="5"/>
        <v>11</v>
      </c>
      <c r="M9" s="37">
        <f t="shared" si="6"/>
        <v>0</v>
      </c>
      <c r="N9" s="37">
        <f>IF(EXACT(C9,"לא"),E9,)</f>
        <v>0</v>
      </c>
      <c r="O9" s="44">
        <f>IF(EXACT("אסיה",VLOOKUP(D9,יבשות!$C$1:$D$10,2,FALSE)),H9,)</f>
        <v>0</v>
      </c>
      <c r="P9" s="47">
        <f>IF(EXACT("אירופה",VLOOKUP(D9,יבשות!$C$1:$D$10,2,FALSE)),H9,)</f>
        <v>0</v>
      </c>
      <c r="Q9" s="47">
        <f>IF(EXACT("אמריקה",VLOOKUP(D9,יבשות!$C$1:$D$10,2,FALSE)),H9,)</f>
        <v>0</v>
      </c>
      <c r="R9" s="47">
        <f>IF(EXACT("אוסטרליה",VLOOKUP(D9,יבשות!$C$1:$D$10,2,FALSE)),H9,)</f>
        <v>2872.5839999999998</v>
      </c>
    </row>
    <row r="10" spans="1:18" x14ac:dyDescent="0.35">
      <c r="A10" s="24">
        <v>379155</v>
      </c>
      <c r="B10" s="25" t="s">
        <v>42</v>
      </c>
      <c r="C10" s="25" t="s">
        <v>35</v>
      </c>
      <c r="D10" s="25" t="s">
        <v>16</v>
      </c>
      <c r="E10" s="25">
        <v>1</v>
      </c>
      <c r="F10" s="26">
        <f>VLOOKUP(D10,טבלה2[#All],5,FALSE)</f>
        <v>8051.94</v>
      </c>
      <c r="G10" s="30">
        <f t="shared" si="0"/>
        <v>8051.94</v>
      </c>
      <c r="H10" s="34">
        <f t="shared" si="1"/>
        <v>8051.94</v>
      </c>
      <c r="I10" s="39">
        <f t="shared" si="2"/>
        <v>8051.94</v>
      </c>
      <c r="J10" s="34">
        <f t="shared" si="3"/>
        <v>0</v>
      </c>
      <c r="K10" s="37">
        <f t="shared" si="4"/>
        <v>0</v>
      </c>
      <c r="L10" s="37">
        <f t="shared" si="5"/>
        <v>0</v>
      </c>
      <c r="M10" s="37">
        <f t="shared" si="6"/>
        <v>1</v>
      </c>
      <c r="N10" s="37">
        <f>IF(EXACT(C10,"לא"),E10,)</f>
        <v>1</v>
      </c>
      <c r="O10" s="44">
        <f>IF(EXACT("אסיה",VLOOKUP(D10,יבשות!$C$1:$D$10,2,FALSE)),H10,)</f>
        <v>0</v>
      </c>
      <c r="P10" s="47">
        <f>IF(EXACT("אירופה",VLOOKUP(D10,יבשות!$C$1:$D$10,2,FALSE)),H10,)</f>
        <v>0</v>
      </c>
      <c r="Q10" s="47">
        <f>IF(EXACT("אמריקה",VLOOKUP(D10,יבשות!$C$1:$D$10,2,FALSE)),H10,)</f>
        <v>8051.94</v>
      </c>
      <c r="R10" s="47">
        <f>IF(EXACT("אוסטרליה",VLOOKUP(D10,יבשות!$C$1:$D$10,2,FALSE)),H10,)</f>
        <v>0</v>
      </c>
    </row>
    <row r="11" spans="1:18" x14ac:dyDescent="0.35">
      <c r="A11" s="22">
        <v>867492</v>
      </c>
      <c r="B11" s="27" t="s">
        <v>43</v>
      </c>
      <c r="C11" s="27" t="s">
        <v>35</v>
      </c>
      <c r="D11" s="27" t="s">
        <v>24</v>
      </c>
      <c r="E11" s="27">
        <v>2</v>
      </c>
      <c r="F11" s="28">
        <f>VLOOKUP(D11,טבלה2[#All],5,FALSE)</f>
        <v>261.14400000000001</v>
      </c>
      <c r="G11" s="31">
        <f t="shared" si="0"/>
        <v>261.14400000000001</v>
      </c>
      <c r="H11" s="35">
        <f t="shared" si="1"/>
        <v>522.28800000000001</v>
      </c>
      <c r="I11" s="39">
        <f t="shared" si="2"/>
        <v>522.28800000000001</v>
      </c>
      <c r="J11" s="34">
        <f t="shared" si="3"/>
        <v>0</v>
      </c>
      <c r="K11" s="37">
        <f t="shared" si="4"/>
        <v>0</v>
      </c>
      <c r="L11" s="37">
        <f t="shared" si="5"/>
        <v>0</v>
      </c>
      <c r="M11" s="37">
        <f t="shared" si="6"/>
        <v>1</v>
      </c>
      <c r="N11" s="37">
        <f>IF(EXACT(C11,"לא"),E11,)</f>
        <v>2</v>
      </c>
      <c r="O11" s="44">
        <f>IF(EXACT("אסיה",VLOOKUP(D11,יבשות!$C$1:$D$10,2,FALSE)),H11,)</f>
        <v>0</v>
      </c>
      <c r="P11" s="47">
        <f>IF(EXACT("אירופה",VLOOKUP(D11,יבשות!$C$1:$D$10,2,FALSE)),H11,)</f>
        <v>0</v>
      </c>
      <c r="Q11" s="47">
        <f>IF(EXACT("אמריקה",VLOOKUP(D11,יבשות!$C$1:$D$10,2,FALSE)),H11,)</f>
        <v>0</v>
      </c>
      <c r="R11" s="47">
        <f>IF(EXACT("אוסטרליה",VLOOKUP(D11,יבשות!$C$1:$D$10,2,FALSE)),H11,)</f>
        <v>522.28800000000001</v>
      </c>
    </row>
    <row r="12" spans="1:18" x14ac:dyDescent="0.35">
      <c r="A12" s="22"/>
      <c r="B12" s="27"/>
      <c r="C12" s="27"/>
      <c r="D12" s="27"/>
      <c r="E12" s="27"/>
      <c r="F12" s="36"/>
      <c r="G12" s="31"/>
      <c r="H12" s="35">
        <f>SUBTOTAL(109,טבלה1[סה"כ פדיון (הכנסות לפני הנחות)])</f>
        <v>75035.375999999989</v>
      </c>
      <c r="I12" s="5">
        <f t="shared" ref="I12:R12" si="7">SUM(I2:I11)</f>
        <v>74382.516000000003</v>
      </c>
      <c r="J12" s="5">
        <f t="shared" si="7"/>
        <v>652.86000000000104</v>
      </c>
      <c r="K12" s="38">
        <f t="shared" si="7"/>
        <v>4</v>
      </c>
      <c r="L12" s="38">
        <f t="shared" si="7"/>
        <v>26</v>
      </c>
      <c r="M12" s="38">
        <f t="shared" si="7"/>
        <v>6</v>
      </c>
      <c r="N12" s="38">
        <f t="shared" si="7"/>
        <v>19</v>
      </c>
      <c r="O12" s="45">
        <f t="shared" si="7"/>
        <v>53157.312000000005</v>
      </c>
      <c r="P12" s="48">
        <f t="shared" si="7"/>
        <v>2205.2159999999999</v>
      </c>
      <c r="Q12" s="48">
        <f t="shared" si="7"/>
        <v>16277.975999999999</v>
      </c>
      <c r="R12" s="48">
        <f t="shared" si="7"/>
        <v>3394.8719999999998</v>
      </c>
    </row>
  </sheetData>
  <phoneticPr fontId="4" type="noConversion"/>
  <conditionalFormatting sqref="N2:N11">
    <cfRule type="cellIs" dxfId="3" priority="3" operator="greaterThan">
      <formula>12</formula>
    </cfRule>
    <cfRule type="cellIs" dxfId="2" priority="4" operator="greaterThan">
      <formula>5</formula>
    </cfRule>
  </conditionalFormatting>
  <conditionalFormatting sqref="N2:N11">
    <cfRule type="cellIs" dxfId="1" priority="2" operator="greaterThan">
      <formula>5</formula>
    </cfRule>
  </conditionalFormatting>
  <conditionalFormatting sqref="N2:N11">
    <cfRule type="cellIs" dxfId="0" priority="1" operator="greaterThan">
      <formula>12</formula>
    </cfRule>
  </conditionalFormatting>
  <dataValidations count="1">
    <dataValidation type="whole" allowBlank="1" showInputMessage="1" showErrorMessage="1" promptTitle="Error" prompt="Please enter a number between 1-49" sqref="E2:E11" xr:uid="{7F6E983C-10F9-421C-86C0-63C46785C1DD}">
      <formula1>1</formula1>
      <formula2>49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063F92-1D23-49C9-AEE5-1E5B70A98910}">
          <x14:formula1>
            <xm:f>'חבר מועדון'!$A$1:$A$2</xm:f>
          </x14:formula1>
          <xm:sqref>C2:C11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28FD-DB68-49D0-B06F-921422D92A6A}">
  <dimension ref="A1"/>
  <sheetViews>
    <sheetView rightToLeft="1" topLeftCell="A10" zoomScale="85" zoomScaleNormal="85" workbookViewId="0">
      <selection activeCell="D52" sqref="D5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FE8C-67E9-401F-95E2-021253B1D40B}">
  <dimension ref="A1:C33"/>
  <sheetViews>
    <sheetView rightToLeft="1" tabSelected="1" topLeftCell="A16" zoomScale="115" zoomScaleNormal="115" workbookViewId="0">
      <selection activeCell="A40" sqref="A40"/>
    </sheetView>
  </sheetViews>
  <sheetFormatPr defaultRowHeight="14.5" x14ac:dyDescent="0.35"/>
  <cols>
    <col min="1" max="1" width="15.6328125" bestFit="1" customWidth="1"/>
    <col min="2" max="2" width="23.54296875" bestFit="1" customWidth="1"/>
    <col min="3" max="3" width="26.26953125" bestFit="1" customWidth="1"/>
    <col min="4" max="4" width="20.7265625" bestFit="1" customWidth="1"/>
    <col min="5" max="5" width="2.1796875" bestFit="1" customWidth="1"/>
    <col min="6" max="6" width="3.26953125" bestFit="1" customWidth="1"/>
    <col min="7" max="7" width="8.453125" bestFit="1" customWidth="1"/>
    <col min="8" max="8" width="4.1796875" bestFit="1" customWidth="1"/>
    <col min="9" max="9" width="6.81640625" bestFit="1" customWidth="1"/>
    <col min="10" max="10" width="4.1796875" bestFit="1" customWidth="1"/>
    <col min="11" max="11" width="6.81640625" bestFit="1" customWidth="1"/>
    <col min="12" max="12" width="4.1796875" bestFit="1" customWidth="1"/>
    <col min="13" max="13" width="6.81640625" bestFit="1" customWidth="1"/>
    <col min="14" max="14" width="4.1796875" bestFit="1" customWidth="1"/>
    <col min="15" max="15" width="6.81640625" bestFit="1" customWidth="1"/>
    <col min="16" max="16" width="8.453125" bestFit="1" customWidth="1"/>
  </cols>
  <sheetData>
    <row r="1" spans="1:3" x14ac:dyDescent="0.35">
      <c r="A1" s="49" t="s">
        <v>57</v>
      </c>
      <c r="B1" s="2" t="s">
        <v>59</v>
      </c>
      <c r="C1" s="2" t="s">
        <v>60</v>
      </c>
    </row>
    <row r="2" spans="1:3" x14ac:dyDescent="0.35">
      <c r="A2" s="1" t="s">
        <v>33</v>
      </c>
      <c r="B2" s="51">
        <v>26</v>
      </c>
      <c r="C2" s="51">
        <v>547.85834999999997</v>
      </c>
    </row>
    <row r="3" spans="1:3" x14ac:dyDescent="0.35">
      <c r="A3" s="50" t="s">
        <v>32</v>
      </c>
      <c r="B3" s="51">
        <v>2</v>
      </c>
      <c r="C3" s="51">
        <v>220.52159999999998</v>
      </c>
    </row>
    <row r="4" spans="1:3" x14ac:dyDescent="0.35">
      <c r="A4" s="50" t="s">
        <v>38</v>
      </c>
      <c r="B4" s="51">
        <v>5</v>
      </c>
      <c r="C4" s="51">
        <v>1516.0859999999998</v>
      </c>
    </row>
    <row r="5" spans="1:3" x14ac:dyDescent="0.35">
      <c r="A5" s="50" t="s">
        <v>37</v>
      </c>
      <c r="B5" s="51">
        <v>8</v>
      </c>
      <c r="C5" s="51">
        <v>206.739</v>
      </c>
    </row>
    <row r="6" spans="1:3" x14ac:dyDescent="0.35">
      <c r="A6" s="50" t="s">
        <v>41</v>
      </c>
      <c r="B6" s="51">
        <v>11</v>
      </c>
      <c r="C6" s="51">
        <v>248.08679999999998</v>
      </c>
    </row>
    <row r="7" spans="1:3" x14ac:dyDescent="0.35">
      <c r="A7" s="1" t="s">
        <v>35</v>
      </c>
      <c r="B7" s="51">
        <v>19</v>
      </c>
      <c r="C7" s="51">
        <v>3554.4599999999996</v>
      </c>
    </row>
    <row r="8" spans="1:3" x14ac:dyDescent="0.35">
      <c r="A8" s="50" t="s">
        <v>40</v>
      </c>
      <c r="B8" s="51">
        <v>3</v>
      </c>
      <c r="C8" s="51">
        <v>2742.0119999999997</v>
      </c>
    </row>
    <row r="9" spans="1:3" x14ac:dyDescent="0.35">
      <c r="A9" s="50" t="s">
        <v>39</v>
      </c>
      <c r="B9" s="51">
        <v>4</v>
      </c>
      <c r="C9" s="51">
        <v>6746.22</v>
      </c>
    </row>
    <row r="10" spans="1:3" x14ac:dyDescent="0.35">
      <c r="A10" s="50" t="s">
        <v>36</v>
      </c>
      <c r="B10" s="51">
        <v>6</v>
      </c>
      <c r="C10" s="51">
        <v>2538.8999999999996</v>
      </c>
    </row>
    <row r="11" spans="1:3" x14ac:dyDescent="0.35">
      <c r="A11" s="50" t="s">
        <v>34</v>
      </c>
      <c r="B11" s="51">
        <v>3</v>
      </c>
      <c r="C11" s="51">
        <v>986.54399999999987</v>
      </c>
    </row>
    <row r="12" spans="1:3" x14ac:dyDescent="0.35">
      <c r="A12" s="50" t="s">
        <v>42</v>
      </c>
      <c r="B12" s="51">
        <v>1</v>
      </c>
      <c r="C12" s="51">
        <v>8051.94</v>
      </c>
    </row>
    <row r="13" spans="1:3" x14ac:dyDescent="0.35">
      <c r="A13" s="50" t="s">
        <v>43</v>
      </c>
      <c r="B13" s="51">
        <v>2</v>
      </c>
      <c r="C13" s="51">
        <v>261.14400000000001</v>
      </c>
    </row>
    <row r="14" spans="1:3" x14ac:dyDescent="0.35">
      <c r="A14" s="1" t="s">
        <v>58</v>
      </c>
      <c r="B14" s="51">
        <v>45</v>
      </c>
      <c r="C14" s="51">
        <v>2351.81934</v>
      </c>
    </row>
    <row r="16" spans="1:3" x14ac:dyDescent="0.35">
      <c r="A16" s="49" t="s">
        <v>57</v>
      </c>
      <c r="B16" s="2" t="s">
        <v>65</v>
      </c>
      <c r="C16" s="2" t="s">
        <v>66</v>
      </c>
    </row>
    <row r="17" spans="1:3" x14ac:dyDescent="0.35">
      <c r="A17" s="1" t="s">
        <v>25</v>
      </c>
      <c r="B17" s="51"/>
      <c r="C17" s="51"/>
    </row>
    <row r="18" spans="1:3" x14ac:dyDescent="0.35">
      <c r="A18" s="50" t="s">
        <v>25</v>
      </c>
      <c r="B18" s="51">
        <v>2340</v>
      </c>
      <c r="C18" s="51">
        <v>5346.9233999999997</v>
      </c>
    </row>
    <row r="19" spans="1:3" x14ac:dyDescent="0.35">
      <c r="A19" s="1" t="s">
        <v>13</v>
      </c>
      <c r="B19" s="51"/>
      <c r="C19" s="51"/>
    </row>
    <row r="20" spans="1:3" x14ac:dyDescent="0.35">
      <c r="A20" s="50" t="s">
        <v>12</v>
      </c>
      <c r="B20" s="51">
        <v>320</v>
      </c>
      <c r="C20" s="51">
        <v>9.8051200985887874</v>
      </c>
    </row>
    <row r="21" spans="1:3" x14ac:dyDescent="0.35">
      <c r="A21" s="50" t="s">
        <v>20</v>
      </c>
      <c r="B21" s="51">
        <v>1200</v>
      </c>
      <c r="C21" s="51">
        <v>38.755803042164636</v>
      </c>
    </row>
    <row r="22" spans="1:3" x14ac:dyDescent="0.35">
      <c r="A22" s="1" t="s">
        <v>18</v>
      </c>
      <c r="B22" s="51"/>
      <c r="C22" s="51"/>
    </row>
    <row r="23" spans="1:3" x14ac:dyDescent="0.35">
      <c r="A23" s="50" t="s">
        <v>17</v>
      </c>
      <c r="B23" s="51">
        <v>11220</v>
      </c>
      <c r="C23" s="51">
        <v>29.468709040147189</v>
      </c>
    </row>
    <row r="24" spans="1:3" x14ac:dyDescent="0.35">
      <c r="A24" s="1" t="s">
        <v>8</v>
      </c>
      <c r="B24" s="51"/>
      <c r="C24" s="51"/>
    </row>
    <row r="25" spans="1:3" x14ac:dyDescent="0.35">
      <c r="A25" s="50" t="s">
        <v>15</v>
      </c>
      <c r="B25" s="51">
        <v>2040</v>
      </c>
      <c r="C25" s="51">
        <v>104.45759999999999</v>
      </c>
    </row>
    <row r="26" spans="1:3" x14ac:dyDescent="0.35">
      <c r="A26" s="50" t="s">
        <v>7</v>
      </c>
      <c r="B26" s="51">
        <v>5500</v>
      </c>
      <c r="C26" s="51">
        <v>59.922700206182292</v>
      </c>
    </row>
    <row r="27" spans="1:3" x14ac:dyDescent="0.35">
      <c r="A27" s="50" t="s">
        <v>10</v>
      </c>
      <c r="B27" s="51">
        <v>29100</v>
      </c>
      <c r="C27" s="51">
        <v>6202.17</v>
      </c>
    </row>
    <row r="28" spans="1:3" x14ac:dyDescent="0.35">
      <c r="A28" s="1" t="s">
        <v>58</v>
      </c>
      <c r="B28" s="51">
        <v>51720</v>
      </c>
      <c r="C28" s="51">
        <v>11791.503332387083</v>
      </c>
    </row>
    <row r="32" spans="1:3" x14ac:dyDescent="0.35">
      <c r="A32" s="2" t="s">
        <v>62</v>
      </c>
      <c r="B32" s="2" t="s">
        <v>61</v>
      </c>
    </row>
    <row r="33" spans="1:2" x14ac:dyDescent="0.35">
      <c r="A33" s="51">
        <v>19</v>
      </c>
      <c r="B33" s="51">
        <v>26</v>
      </c>
    </row>
  </sheetData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BE8E-D326-48FD-8066-ACCAE692B3E2}">
  <dimension ref="A1"/>
  <sheetViews>
    <sheetView rightToLeft="1" zoomScaleNormal="100" workbookViewId="0">
      <selection activeCell="O14" sqref="O1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2E3A-806F-485C-8801-DD8C44B2860E}">
  <dimension ref="A1:A2"/>
  <sheetViews>
    <sheetView rightToLeft="1" workbookViewId="0"/>
  </sheetViews>
  <sheetFormatPr defaultRowHeight="14.5" x14ac:dyDescent="0.35"/>
  <sheetData>
    <row r="1" spans="1:1" x14ac:dyDescent="0.35">
      <c r="A1" t="s">
        <v>33</v>
      </c>
    </row>
    <row r="2" spans="1:1" x14ac:dyDescent="0.35">
      <c r="A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24C0-38E9-4C54-98C6-213F8FB5C354}">
  <dimension ref="A1:D10"/>
  <sheetViews>
    <sheetView rightToLeft="1" workbookViewId="0">
      <selection activeCell="D35" sqref="D35"/>
    </sheetView>
  </sheetViews>
  <sheetFormatPr defaultRowHeight="14.5" x14ac:dyDescent="0.35"/>
  <sheetData>
    <row r="1" spans="1:4" x14ac:dyDescent="0.35">
      <c r="A1" s="23" t="s">
        <v>8</v>
      </c>
      <c r="C1" s="40" t="s">
        <v>6</v>
      </c>
      <c r="D1" s="18" t="s">
        <v>8</v>
      </c>
    </row>
    <row r="2" spans="1:4" x14ac:dyDescent="0.35">
      <c r="A2" s="23" t="s">
        <v>13</v>
      </c>
      <c r="C2" s="41" t="s">
        <v>9</v>
      </c>
      <c r="D2" s="19" t="s">
        <v>8</v>
      </c>
    </row>
    <row r="3" spans="1:4" x14ac:dyDescent="0.35">
      <c r="A3" s="23" t="s">
        <v>18</v>
      </c>
      <c r="C3" s="40" t="s">
        <v>11</v>
      </c>
      <c r="D3" s="18" t="s">
        <v>13</v>
      </c>
    </row>
    <row r="4" spans="1:4" ht="29" x14ac:dyDescent="0.35">
      <c r="A4" s="23" t="s">
        <v>25</v>
      </c>
      <c r="C4" s="41" t="s">
        <v>14</v>
      </c>
      <c r="D4" s="19" t="s">
        <v>8</v>
      </c>
    </row>
    <row r="5" spans="1:4" ht="29" x14ac:dyDescent="0.35">
      <c r="A5" s="23" t="s">
        <v>45</v>
      </c>
      <c r="C5" s="40" t="s">
        <v>16</v>
      </c>
      <c r="D5" s="18" t="s">
        <v>18</v>
      </c>
    </row>
    <row r="6" spans="1:4" ht="29" x14ac:dyDescent="0.35">
      <c r="C6" s="41" t="s">
        <v>19</v>
      </c>
      <c r="D6" s="19" t="s">
        <v>13</v>
      </c>
    </row>
    <row r="7" spans="1:4" ht="29" x14ac:dyDescent="0.35">
      <c r="C7" s="40" t="s">
        <v>21</v>
      </c>
      <c r="D7" s="18" t="s">
        <v>8</v>
      </c>
    </row>
    <row r="8" spans="1:4" ht="29" x14ac:dyDescent="0.35">
      <c r="C8" s="41" t="s">
        <v>22</v>
      </c>
      <c r="D8" s="19" t="s">
        <v>8</v>
      </c>
    </row>
    <row r="9" spans="1:4" ht="29" x14ac:dyDescent="0.35">
      <c r="C9" s="40" t="s">
        <v>23</v>
      </c>
      <c r="D9" s="18" t="s">
        <v>18</v>
      </c>
    </row>
    <row r="10" spans="1:4" ht="15" thickBot="1" x14ac:dyDescent="0.4">
      <c r="C10" s="42" t="s">
        <v>24</v>
      </c>
      <c r="D10" s="20" t="s">
        <v>25</v>
      </c>
    </row>
  </sheetData>
  <dataValidations count="2">
    <dataValidation type="list" allowBlank="1" showInputMessage="1" showErrorMessage="1" sqref="A1:A4" xr:uid="{899ACD12-DF5F-4DAE-9DE2-603807D610DA}">
      <formula1>$A$1:$A$7</formula1>
    </dataValidation>
    <dataValidation type="list" allowBlank="1" showInputMessage="1" showErrorMessage="1" sqref="D1:D10" xr:uid="{7490739E-F19C-4A85-A683-46E9392F98C7}">
      <formula1>$A$1:$A$5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טבלה 1 מוצרי חשמל</vt:lpstr>
      <vt:lpstr>טבלה 2 מכירות</vt:lpstr>
      <vt:lpstr>גרפים</vt:lpstr>
      <vt:lpstr>ניתוחים נוספים</vt:lpstr>
      <vt:lpstr>גרף מטבלת ציר</vt:lpstr>
      <vt:lpstr>חבר מועדון</vt:lpstr>
      <vt:lpstr>יבשות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Paz</dc:creator>
  <cp:lastModifiedBy>Roy Paz</cp:lastModifiedBy>
  <dcterms:created xsi:type="dcterms:W3CDTF">2020-10-20T12:33:29Z</dcterms:created>
  <dcterms:modified xsi:type="dcterms:W3CDTF">2020-10-22T14:27:52Z</dcterms:modified>
</cp:coreProperties>
</file>