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henry2\OneDrive - University of Edinburgh\Sudan_mediation_dataset\Sudan Mediation Dataset\Sudan Mediation Dataset 1989-2022\"/>
    </mc:Choice>
  </mc:AlternateContent>
  <bookViews>
    <workbookView xWindow="0" yWindow="500" windowWidth="28800" windowHeight="16420" firstSheet="3" activeTab="6"/>
  </bookViews>
  <sheets>
    <sheet name="Mediation Dataset (Sudans)" sheetId="1" r:id="rId1"/>
    <sheet name="Broad" sheetId="4" r:id="rId2"/>
    <sheet name="Specific Analysis&amp;Graphs" sheetId="3" r:id="rId3"/>
    <sheet name="Actor-Type" sheetId="2" r:id="rId4"/>
    <sheet name="actors" sheetId="5" r:id="rId5"/>
    <sheet name="type-key" sheetId="6" r:id="rId6"/>
    <sheet name="neg_type_key" sheetId="7" r:id="rId7"/>
  </sheets>
  <definedNames>
    <definedName name="_xlnm._FilterDatabase" localSheetId="3" hidden="1">'Actor-Type'!$A$1:$A$1220</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74" i="3" l="1"/>
  <c r="H374" i="3"/>
  <c r="G374" i="3"/>
  <c r="F374" i="3"/>
  <c r="E374" i="3"/>
  <c r="D374" i="3"/>
  <c r="C374" i="3"/>
  <c r="B374" i="3"/>
  <c r="B372" i="3"/>
  <c r="C372" i="3"/>
  <c r="D372" i="3"/>
  <c r="E372" i="3"/>
  <c r="F372" i="3"/>
  <c r="G372" i="3"/>
  <c r="H372" i="3"/>
  <c r="I372" i="3"/>
  <c r="J372" i="3"/>
  <c r="AJ365" i="3" a="1"/>
  <c r="AJ365" i="3"/>
  <c r="AG365" i="3" a="1"/>
  <c r="AG365" i="3"/>
  <c r="AF365" i="3" a="1"/>
  <c r="AF365" i="3"/>
  <c r="AE365" i="3" a="1"/>
  <c r="AE365" i="3"/>
  <c r="AB365" i="3" a="1"/>
  <c r="AB365" i="3"/>
  <c r="S365" i="3" a="1"/>
  <c r="S365" i="3"/>
  <c r="R365" i="3" a="1"/>
  <c r="R365" i="3"/>
  <c r="P365" i="3" a="1"/>
  <c r="P365" i="3"/>
  <c r="AA327" i="3" a="1"/>
  <c r="AA327" i="3"/>
  <c r="S327" i="3" a="1"/>
  <c r="S327" i="3"/>
  <c r="AA326" i="3" a="1"/>
  <c r="AA326" i="3"/>
  <c r="S326" i="3" a="1"/>
  <c r="S326" i="3"/>
  <c r="P324" i="3" a="1"/>
  <c r="P324" i="3"/>
  <c r="S324" i="3" a="1"/>
  <c r="S324" i="3"/>
  <c r="AA324" i="3" a="1"/>
  <c r="AA324" i="3"/>
  <c r="AD324" i="3" a="1"/>
  <c r="AD324" i="3"/>
  <c r="AF324" i="3" a="1"/>
  <c r="AF324" i="3"/>
  <c r="AG324" i="3" a="1"/>
  <c r="AG324" i="3"/>
  <c r="P327" i="3" a="1"/>
  <c r="P327" i="3"/>
  <c r="P326" i="3" a="1"/>
  <c r="P326" i="3"/>
  <c r="M286" i="3"/>
  <c r="AJ282" i="3" a="1"/>
  <c r="AJ282" i="3"/>
  <c r="AI282" i="3" a="1"/>
  <c r="AI282" i="3"/>
  <c r="AH282" i="3" a="1"/>
  <c r="AH282" i="3"/>
  <c r="AG282" i="3" a="1"/>
  <c r="AG282" i="3"/>
  <c r="AF282" i="3" a="1"/>
  <c r="AF282" i="3"/>
  <c r="AE282" i="3" a="1"/>
  <c r="AE282" i="3"/>
  <c r="AD282" i="3" a="1"/>
  <c r="AD282" i="3"/>
  <c r="AC282" i="3" a="1"/>
  <c r="AC282" i="3"/>
  <c r="AB282" i="3" a="1"/>
  <c r="AB282" i="3"/>
  <c r="AA282" i="3" a="1"/>
  <c r="AA282" i="3"/>
  <c r="S282" i="3" a="1"/>
  <c r="S282" i="3"/>
  <c r="R282" i="3" a="1"/>
  <c r="R282" i="3"/>
  <c r="Q282" i="3" a="1"/>
  <c r="Q282" i="3"/>
  <c r="P282" i="3" a="1"/>
  <c r="P282" i="3"/>
  <c r="N282" i="3" a="1"/>
  <c r="N282" i="3"/>
  <c r="B331" i="3"/>
  <c r="C331" i="3"/>
  <c r="D331" i="3"/>
  <c r="E331" i="3"/>
  <c r="F331" i="3"/>
  <c r="G331" i="3"/>
  <c r="H331" i="3"/>
  <c r="I331" i="3"/>
  <c r="J331" i="3"/>
  <c r="M331" i="3"/>
  <c r="C282" i="4"/>
  <c r="D282" i="4"/>
  <c r="E282" i="4"/>
  <c r="F282" i="4"/>
  <c r="C283" i="4"/>
  <c r="D283" i="4"/>
  <c r="E283" i="4"/>
  <c r="F283" i="4"/>
  <c r="C284" i="4"/>
  <c r="D284" i="4"/>
  <c r="E284" i="4"/>
  <c r="F284" i="4"/>
  <c r="C285" i="4"/>
  <c r="D285" i="4"/>
  <c r="E285" i="4"/>
  <c r="F285" i="4"/>
  <c r="C286" i="4"/>
  <c r="D286" i="4"/>
  <c r="E286" i="4"/>
  <c r="F286" i="4"/>
  <c r="C287" i="4"/>
  <c r="D287" i="4"/>
  <c r="E287" i="4"/>
  <c r="F287" i="4"/>
  <c r="C288" i="4"/>
  <c r="D288" i="4"/>
  <c r="E288" i="4"/>
  <c r="F288" i="4"/>
  <c r="C289" i="4"/>
  <c r="D289" i="4"/>
  <c r="E289" i="4"/>
  <c r="F289" i="4"/>
  <c r="C290" i="4"/>
  <c r="D290" i="4"/>
  <c r="E290" i="4"/>
  <c r="F290" i="4"/>
  <c r="C291" i="4"/>
  <c r="D291" i="4"/>
  <c r="E291" i="4"/>
  <c r="F291" i="4"/>
  <c r="C292" i="4"/>
  <c r="D292" i="4"/>
  <c r="E292" i="4"/>
  <c r="F292" i="4"/>
  <c r="C293" i="4"/>
  <c r="D293" i="4"/>
  <c r="E293" i="4"/>
  <c r="F293" i="4"/>
  <c r="C294" i="4"/>
  <c r="D294" i="4"/>
  <c r="E294" i="4"/>
  <c r="F294" i="4"/>
  <c r="C295" i="4"/>
  <c r="D295" i="4"/>
  <c r="E295" i="4"/>
  <c r="F295" i="4"/>
  <c r="C296" i="4"/>
  <c r="D296" i="4"/>
  <c r="E296" i="4"/>
  <c r="F296" i="4"/>
  <c r="C297" i="4"/>
  <c r="D297" i="4"/>
  <c r="E297" i="4"/>
  <c r="F297" i="4"/>
  <c r="C298" i="4"/>
  <c r="D298" i="4"/>
  <c r="E298" i="4"/>
  <c r="F298" i="4"/>
  <c r="C299" i="4"/>
  <c r="D299" i="4"/>
  <c r="E299" i="4"/>
  <c r="F299" i="4"/>
  <c r="C300" i="4"/>
  <c r="D300" i="4"/>
  <c r="E300" i="4"/>
  <c r="F300" i="4"/>
  <c r="C301" i="4"/>
  <c r="D301" i="4"/>
  <c r="E301" i="4"/>
  <c r="F301" i="4"/>
  <c r="C302" i="4"/>
  <c r="D302" i="4"/>
  <c r="E302" i="4"/>
  <c r="F302" i="4"/>
  <c r="C303" i="4"/>
  <c r="D303" i="4"/>
  <c r="E303" i="4"/>
  <c r="F303" i="4"/>
  <c r="C304" i="4"/>
  <c r="D304" i="4"/>
  <c r="E304" i="4"/>
  <c r="F304" i="4"/>
  <c r="C305" i="4"/>
  <c r="D305" i="4"/>
  <c r="E305" i="4"/>
  <c r="F305" i="4"/>
  <c r="C306" i="4"/>
  <c r="D306" i="4"/>
  <c r="E306" i="4"/>
  <c r="F306" i="4"/>
  <c r="C307" i="4"/>
  <c r="D307" i="4"/>
  <c r="E307" i="4"/>
  <c r="F307" i="4"/>
  <c r="C308" i="4"/>
  <c r="D308" i="4"/>
  <c r="E308" i="4"/>
  <c r="F308" i="4"/>
  <c r="C309" i="4"/>
  <c r="D309" i="4"/>
  <c r="E309" i="4"/>
  <c r="F309" i="4"/>
  <c r="C310" i="4"/>
  <c r="D310" i="4"/>
  <c r="E310" i="4"/>
  <c r="F310" i="4"/>
  <c r="C311" i="4"/>
  <c r="D311" i="4"/>
  <c r="E311" i="4"/>
  <c r="F311" i="4"/>
  <c r="C312" i="4"/>
  <c r="D312" i="4"/>
  <c r="E312" i="4"/>
  <c r="F312" i="4"/>
  <c r="C313" i="4"/>
  <c r="D313" i="4"/>
  <c r="E313" i="4"/>
  <c r="F313" i="4"/>
  <c r="C314" i="4"/>
  <c r="D314" i="4"/>
  <c r="E314" i="4"/>
  <c r="F314" i="4"/>
  <c r="C315" i="4"/>
  <c r="D315" i="4"/>
  <c r="E315" i="4"/>
  <c r="F315" i="4"/>
  <c r="C316" i="4"/>
  <c r="D316" i="4"/>
  <c r="E316" i="4"/>
  <c r="F316" i="4"/>
  <c r="C317" i="4"/>
  <c r="D317" i="4"/>
  <c r="E317" i="4"/>
  <c r="F317" i="4"/>
  <c r="C318" i="4"/>
  <c r="D318" i="4"/>
  <c r="E318" i="4"/>
  <c r="F318" i="4"/>
  <c r="C319" i="4"/>
  <c r="D319" i="4"/>
  <c r="E319" i="4"/>
  <c r="F319" i="4"/>
  <c r="C320" i="4"/>
  <c r="D320" i="4"/>
  <c r="E320" i="4"/>
  <c r="F320" i="4"/>
  <c r="C321" i="4"/>
  <c r="D321" i="4"/>
  <c r="E321" i="4"/>
  <c r="F321" i="4"/>
  <c r="C322" i="4"/>
  <c r="D322" i="4"/>
  <c r="E322" i="4"/>
  <c r="F322" i="4"/>
  <c r="C323" i="4"/>
  <c r="D323" i="4"/>
  <c r="E323" i="4"/>
  <c r="F323" i="4"/>
  <c r="C324" i="4"/>
  <c r="D324" i="4"/>
  <c r="E324" i="4"/>
  <c r="F324" i="4"/>
  <c r="C325" i="4"/>
  <c r="D325" i="4"/>
  <c r="E325" i="4"/>
  <c r="F325" i="4"/>
  <c r="C326" i="4"/>
  <c r="D326" i="4"/>
  <c r="E326" i="4"/>
  <c r="F326" i="4"/>
  <c r="C327" i="4"/>
  <c r="D327" i="4"/>
  <c r="E327" i="4"/>
  <c r="F327" i="4"/>
  <c r="C328" i="4"/>
  <c r="D328" i="4"/>
  <c r="E328" i="4"/>
  <c r="F328" i="4"/>
  <c r="C329" i="4"/>
  <c r="D329" i="4"/>
  <c r="E329" i="4"/>
  <c r="F329" i="4"/>
  <c r="C330" i="4"/>
  <c r="D330" i="4"/>
  <c r="E330" i="4"/>
  <c r="F330" i="4"/>
  <c r="C331" i="4"/>
  <c r="D331" i="4"/>
  <c r="E331" i="4"/>
  <c r="F331" i="4"/>
  <c r="C332" i="4"/>
  <c r="D332" i="4"/>
  <c r="E332" i="4"/>
  <c r="F332" i="4"/>
  <c r="C333" i="4"/>
  <c r="D333" i="4"/>
  <c r="E333" i="4"/>
  <c r="F333" i="4"/>
  <c r="C334" i="4"/>
  <c r="D334" i="4"/>
  <c r="E334" i="4"/>
  <c r="F334" i="4"/>
  <c r="C335" i="4"/>
  <c r="D335" i="4"/>
  <c r="E335" i="4"/>
  <c r="F335" i="4"/>
  <c r="C336" i="4"/>
  <c r="D336" i="4"/>
  <c r="E336" i="4"/>
  <c r="F336" i="4"/>
  <c r="C337" i="4"/>
  <c r="D337" i="4"/>
  <c r="E337" i="4"/>
  <c r="F337" i="4"/>
  <c r="C338" i="4"/>
  <c r="D338" i="4"/>
  <c r="E338" i="4"/>
  <c r="F338" i="4"/>
  <c r="C339" i="4"/>
  <c r="D339" i="4"/>
  <c r="E339" i="4"/>
  <c r="F339" i="4"/>
  <c r="C340" i="4"/>
  <c r="D340" i="4"/>
  <c r="E340" i="4"/>
  <c r="F340" i="4"/>
  <c r="C341" i="4"/>
  <c r="D341" i="4"/>
  <c r="E341" i="4"/>
  <c r="F341" i="4"/>
  <c r="C342" i="4"/>
  <c r="D342" i="4"/>
  <c r="E342" i="4"/>
  <c r="F342" i="4"/>
  <c r="C343" i="4"/>
  <c r="D343" i="4"/>
  <c r="E343" i="4"/>
  <c r="F343" i="4"/>
  <c r="C344" i="4"/>
  <c r="D344" i="4"/>
  <c r="E344" i="4"/>
  <c r="F344" i="4"/>
  <c r="C345" i="4"/>
  <c r="D345" i="4"/>
  <c r="E345" i="4"/>
  <c r="F345" i="4"/>
  <c r="C346" i="4"/>
  <c r="D346" i="4"/>
  <c r="E346" i="4"/>
  <c r="F346" i="4"/>
  <c r="C347" i="4"/>
  <c r="D347" i="4"/>
  <c r="E347" i="4"/>
  <c r="F347" i="4"/>
  <c r="C348" i="4"/>
  <c r="D348" i="4"/>
  <c r="E348" i="4"/>
  <c r="F348" i="4"/>
  <c r="C349" i="4"/>
  <c r="D349" i="4"/>
  <c r="E349" i="4"/>
  <c r="F349" i="4"/>
  <c r="C350" i="4"/>
  <c r="D350" i="4"/>
  <c r="E350" i="4"/>
  <c r="F350" i="4"/>
  <c r="C351" i="4"/>
  <c r="D351" i="4"/>
  <c r="E351" i="4"/>
  <c r="F351" i="4"/>
  <c r="C352" i="4"/>
  <c r="D352" i="4"/>
  <c r="E352" i="4"/>
  <c r="F352" i="4"/>
  <c r="C353" i="4"/>
  <c r="D353" i="4"/>
  <c r="E353" i="4"/>
  <c r="F353" i="4"/>
  <c r="C354" i="4"/>
  <c r="D354" i="4"/>
  <c r="E354" i="4"/>
  <c r="F354" i="4"/>
  <c r="C355" i="4"/>
  <c r="D355" i="4"/>
  <c r="E355" i="4"/>
  <c r="F355" i="4"/>
  <c r="C356" i="4"/>
  <c r="D356" i="4"/>
  <c r="E356" i="4"/>
  <c r="F356" i="4"/>
  <c r="C357" i="4"/>
  <c r="D357" i="4"/>
  <c r="E357" i="4"/>
  <c r="F357" i="4"/>
  <c r="C358" i="4"/>
  <c r="D358" i="4"/>
  <c r="E358" i="4"/>
  <c r="F358" i="4"/>
  <c r="C359" i="4"/>
  <c r="D359" i="4"/>
  <c r="E359" i="4"/>
  <c r="F359" i="4"/>
  <c r="C360" i="4"/>
  <c r="D360" i="4"/>
  <c r="E360" i="4"/>
  <c r="F360" i="4"/>
  <c r="C361" i="4"/>
  <c r="D361" i="4"/>
  <c r="E361" i="4"/>
  <c r="F361" i="4"/>
  <c r="C362" i="4"/>
  <c r="D362" i="4"/>
  <c r="E362" i="4"/>
  <c r="F362" i="4"/>
  <c r="C363" i="4"/>
  <c r="D363" i="4"/>
  <c r="E363" i="4"/>
  <c r="F363" i="4"/>
  <c r="C364" i="4"/>
  <c r="D364" i="4"/>
  <c r="E364" i="4"/>
  <c r="F364" i="4"/>
  <c r="C365" i="4"/>
  <c r="D365" i="4"/>
  <c r="E365" i="4"/>
  <c r="F365" i="4"/>
  <c r="C366" i="4"/>
  <c r="D366" i="4"/>
  <c r="E366" i="4"/>
  <c r="F366" i="4"/>
  <c r="C367" i="4"/>
  <c r="D367" i="4"/>
  <c r="E367" i="4"/>
  <c r="F367" i="4"/>
  <c r="C368" i="4"/>
  <c r="D368" i="4"/>
  <c r="E368" i="4"/>
  <c r="F368" i="4"/>
  <c r="C369" i="4"/>
  <c r="D369" i="4"/>
  <c r="E369" i="4"/>
  <c r="F369" i="4"/>
  <c r="C370" i="4"/>
  <c r="D370" i="4"/>
  <c r="E370" i="4"/>
  <c r="F370" i="4"/>
  <c r="C371" i="4"/>
  <c r="D371" i="4"/>
  <c r="E371" i="4"/>
  <c r="F371" i="4"/>
  <c r="C372" i="4"/>
  <c r="D372" i="4"/>
  <c r="E372" i="4"/>
  <c r="F372" i="4"/>
  <c r="C373" i="4"/>
  <c r="D373" i="4"/>
  <c r="E373" i="4"/>
  <c r="F373" i="4"/>
  <c r="C374" i="4"/>
  <c r="D374" i="4"/>
  <c r="E374" i="4"/>
  <c r="F374" i="4"/>
  <c r="C375" i="4"/>
  <c r="D375" i="4"/>
  <c r="E375" i="4"/>
  <c r="F375" i="4"/>
  <c r="C376" i="4"/>
  <c r="D376" i="4"/>
  <c r="E376" i="4"/>
  <c r="F376" i="4"/>
  <c r="C377" i="4"/>
  <c r="D377" i="4"/>
  <c r="E377" i="4"/>
  <c r="F377" i="4"/>
  <c r="C378" i="4"/>
  <c r="D378" i="4"/>
  <c r="E378" i="4"/>
  <c r="F378" i="4"/>
  <c r="C379" i="4"/>
  <c r="D379" i="4"/>
  <c r="E379" i="4"/>
  <c r="F379" i="4"/>
  <c r="C380" i="4"/>
  <c r="D380" i="4"/>
  <c r="E380" i="4"/>
  <c r="F380" i="4"/>
  <c r="C381" i="4"/>
  <c r="D381" i="4"/>
  <c r="E381" i="4"/>
  <c r="F381" i="4"/>
  <c r="C382" i="4"/>
  <c r="D382" i="4"/>
  <c r="E382" i="4"/>
  <c r="F382" i="4"/>
  <c r="C383" i="4"/>
  <c r="D383" i="4"/>
  <c r="E383" i="4"/>
  <c r="F383" i="4"/>
  <c r="C384" i="4"/>
  <c r="D384" i="4"/>
  <c r="E384" i="4"/>
  <c r="F384" i="4"/>
  <c r="C385" i="4"/>
  <c r="D385" i="4"/>
  <c r="E385" i="4"/>
  <c r="F385" i="4"/>
  <c r="C386" i="4"/>
  <c r="D386" i="4"/>
  <c r="E386" i="4"/>
  <c r="F386" i="4"/>
  <c r="F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R330" i="4"/>
  <c r="S330" i="4"/>
  <c r="G330" i="4"/>
  <c r="R329" i="4"/>
  <c r="S329" i="4"/>
  <c r="G329" i="4"/>
  <c r="R328" i="4"/>
  <c r="S328" i="4"/>
  <c r="G328" i="4"/>
  <c r="R327" i="4"/>
  <c r="S327" i="4"/>
  <c r="G327" i="4"/>
  <c r="R326" i="4"/>
  <c r="S326" i="4"/>
  <c r="G326" i="4"/>
  <c r="R325" i="4"/>
  <c r="S325" i="4"/>
  <c r="G325" i="4"/>
  <c r="R324" i="4"/>
  <c r="S324" i="4"/>
  <c r="G324" i="4"/>
  <c r="R323" i="4"/>
  <c r="S323" i="4"/>
  <c r="G323" i="4"/>
  <c r="R322" i="4"/>
  <c r="S322" i="4"/>
  <c r="G322" i="4"/>
  <c r="R321" i="4"/>
  <c r="S321" i="4"/>
  <c r="G321" i="4"/>
  <c r="R320" i="4"/>
  <c r="S320" i="4"/>
  <c r="G320" i="4"/>
  <c r="R319" i="4"/>
  <c r="S319" i="4"/>
  <c r="G319" i="4"/>
  <c r="R318" i="4"/>
  <c r="S318" i="4"/>
  <c r="G318" i="4"/>
  <c r="R317" i="4"/>
  <c r="S317" i="4"/>
  <c r="G317" i="4"/>
  <c r="R316" i="4"/>
  <c r="S316" i="4"/>
  <c r="G316" i="4"/>
  <c r="R315" i="4"/>
  <c r="S315" i="4"/>
  <c r="G315" i="4"/>
  <c r="R314" i="4"/>
  <c r="S314" i="4"/>
  <c r="G314" i="4"/>
  <c r="R313" i="4"/>
  <c r="S313" i="4"/>
  <c r="G313" i="4"/>
  <c r="R312" i="4"/>
  <c r="S312" i="4"/>
  <c r="G312" i="4"/>
  <c r="R311" i="4"/>
  <c r="S311" i="4"/>
  <c r="G311" i="4"/>
  <c r="R310" i="4"/>
  <c r="S310" i="4"/>
  <c r="G310" i="4"/>
  <c r="R309" i="4"/>
  <c r="S309" i="4"/>
  <c r="G309" i="4"/>
  <c r="R308" i="4"/>
  <c r="S308" i="4"/>
  <c r="G308" i="4"/>
  <c r="R307" i="4"/>
  <c r="S307" i="4"/>
  <c r="G307" i="4"/>
  <c r="R306" i="4"/>
  <c r="S306" i="4"/>
  <c r="G306" i="4"/>
  <c r="R305" i="4"/>
  <c r="S305" i="4"/>
  <c r="G305" i="4"/>
  <c r="R304" i="4"/>
  <c r="S304" i="4"/>
  <c r="G304" i="4"/>
  <c r="R303" i="4"/>
  <c r="S303" i="4"/>
  <c r="G303" i="4"/>
  <c r="R302" i="4"/>
  <c r="S302" i="4"/>
  <c r="G302" i="4"/>
  <c r="R301" i="4"/>
  <c r="S301" i="4"/>
  <c r="G301" i="4"/>
  <c r="R300" i="4"/>
  <c r="S300" i="4"/>
  <c r="G300" i="4"/>
  <c r="R299" i="4"/>
  <c r="S299" i="4"/>
  <c r="G299" i="4"/>
  <c r="R298" i="4"/>
  <c r="S298" i="4"/>
  <c r="G298" i="4"/>
  <c r="R297" i="4"/>
  <c r="S297" i="4"/>
  <c r="G297" i="4"/>
  <c r="R296" i="4"/>
  <c r="S296" i="4"/>
  <c r="G296" i="4"/>
  <c r="R295" i="4"/>
  <c r="S295" i="4"/>
  <c r="G295" i="4"/>
  <c r="R294" i="4"/>
  <c r="S294" i="4"/>
  <c r="G294" i="4"/>
  <c r="R293" i="4"/>
  <c r="S293" i="4"/>
  <c r="G293" i="4"/>
  <c r="R292" i="4"/>
  <c r="S292" i="4"/>
  <c r="G292" i="4"/>
  <c r="R291" i="4"/>
  <c r="S291" i="4"/>
  <c r="G291" i="4"/>
  <c r="R290" i="4"/>
  <c r="S290" i="4"/>
  <c r="G290" i="4"/>
  <c r="R289" i="4"/>
  <c r="S289" i="4"/>
  <c r="G289" i="4"/>
  <c r="R288" i="4"/>
  <c r="S288" i="4"/>
  <c r="G288" i="4"/>
  <c r="R287" i="4"/>
  <c r="S287" i="4"/>
  <c r="G287" i="4"/>
  <c r="R286" i="4"/>
  <c r="S286" i="4"/>
  <c r="G286" i="4"/>
  <c r="R285" i="4"/>
  <c r="S285" i="4"/>
  <c r="G285" i="4"/>
  <c r="R284" i="4"/>
  <c r="S284" i="4"/>
  <c r="G284" i="4"/>
  <c r="R283" i="4"/>
  <c r="S283" i="4"/>
  <c r="G283" i="4"/>
  <c r="R282" i="4"/>
  <c r="S282" i="4"/>
  <c r="G282" i="4"/>
  <c r="R281" i="4"/>
  <c r="S281" i="4"/>
  <c r="R280" i="4"/>
  <c r="S280" i="4"/>
  <c r="R279" i="4"/>
  <c r="S279" i="4"/>
  <c r="R278" i="4"/>
  <c r="S278" i="4"/>
  <c r="R277" i="4"/>
  <c r="S277" i="4"/>
  <c r="R276" i="4"/>
  <c r="S276" i="4"/>
  <c r="R275" i="4"/>
  <c r="S275" i="4"/>
  <c r="R274" i="4"/>
  <c r="S274" i="4"/>
  <c r="R273" i="4"/>
  <c r="S273" i="4"/>
  <c r="R272" i="4"/>
  <c r="S272" i="4"/>
  <c r="F227" i="4"/>
  <c r="G227" i="4"/>
  <c r="F228" i="4"/>
  <c r="G228" i="4"/>
  <c r="F229" i="4"/>
  <c r="G229" i="4"/>
  <c r="F230" i="4"/>
  <c r="G230" i="4"/>
  <c r="F231" i="4"/>
  <c r="G231" i="4"/>
  <c r="F232" i="4"/>
  <c r="G232" i="4"/>
  <c r="F233" i="4"/>
  <c r="G233" i="4"/>
  <c r="F234" i="4"/>
  <c r="G234" i="4"/>
  <c r="F235" i="4"/>
  <c r="G235" i="4"/>
  <c r="F236" i="4"/>
  <c r="G236" i="4"/>
  <c r="F237" i="4"/>
  <c r="G237" i="4"/>
  <c r="F238" i="4"/>
  <c r="G238" i="4"/>
  <c r="F239" i="4"/>
  <c r="G239" i="4"/>
  <c r="F240" i="4"/>
  <c r="G240" i="4"/>
  <c r="F241" i="4"/>
  <c r="G241" i="4"/>
  <c r="F242" i="4"/>
  <c r="G242" i="4"/>
  <c r="F243" i="4"/>
  <c r="G243" i="4"/>
  <c r="F244" i="4"/>
  <c r="G244" i="4"/>
  <c r="F245" i="4"/>
  <c r="G245" i="4"/>
  <c r="F246" i="4"/>
  <c r="G246" i="4"/>
  <c r="F247" i="4"/>
  <c r="G247" i="4"/>
  <c r="F248" i="4"/>
  <c r="G248" i="4"/>
  <c r="F249" i="4"/>
  <c r="G249" i="4"/>
  <c r="F250" i="4"/>
  <c r="G250" i="4"/>
  <c r="F251" i="4"/>
  <c r="G251" i="4"/>
  <c r="F252" i="4"/>
  <c r="G252" i="4"/>
  <c r="F253" i="4"/>
  <c r="G253" i="4"/>
  <c r="F254" i="4"/>
  <c r="G254" i="4"/>
  <c r="F255" i="4"/>
  <c r="G255" i="4"/>
  <c r="F256" i="4"/>
  <c r="G256" i="4"/>
  <c r="F257" i="4"/>
  <c r="G257" i="4"/>
  <c r="F258" i="4"/>
  <c r="G258" i="4"/>
  <c r="F259" i="4"/>
  <c r="G259" i="4"/>
  <c r="F260" i="4"/>
  <c r="G260" i="4"/>
  <c r="F261" i="4"/>
  <c r="G261" i="4"/>
  <c r="F262" i="4"/>
  <c r="G262" i="4"/>
  <c r="F263" i="4"/>
  <c r="G263" i="4"/>
  <c r="F264" i="4"/>
  <c r="G264" i="4"/>
  <c r="F265" i="4"/>
  <c r="G265" i="4"/>
  <c r="F266" i="4"/>
  <c r="G266" i="4"/>
  <c r="F267" i="4"/>
  <c r="G267" i="4"/>
  <c r="F268" i="4"/>
  <c r="G268" i="4"/>
  <c r="F269" i="4"/>
  <c r="G269" i="4"/>
  <c r="F270" i="4"/>
  <c r="G270" i="4"/>
  <c r="F271" i="4"/>
  <c r="G271" i="4"/>
  <c r="G272" i="4"/>
  <c r="R271" i="4"/>
  <c r="S271" i="4"/>
  <c r="R270" i="4"/>
  <c r="S270" i="4"/>
  <c r="R269" i="4"/>
  <c r="S269" i="4"/>
  <c r="R268" i="4"/>
  <c r="S268" i="4"/>
  <c r="R267" i="4"/>
  <c r="S267" i="4"/>
  <c r="R266" i="4"/>
  <c r="S266" i="4"/>
  <c r="R265" i="4"/>
  <c r="S265" i="4"/>
  <c r="J227" i="4"/>
  <c r="K227" i="4"/>
  <c r="J228" i="4"/>
  <c r="K228" i="4"/>
  <c r="J229" i="4"/>
  <c r="K229" i="4"/>
  <c r="J230" i="4"/>
  <c r="K230" i="4"/>
  <c r="J231" i="4"/>
  <c r="K231" i="4"/>
  <c r="J232" i="4"/>
  <c r="K232" i="4"/>
  <c r="J233" i="4"/>
  <c r="K233" i="4"/>
  <c r="J234" i="4"/>
  <c r="K234" i="4"/>
  <c r="J235" i="4"/>
  <c r="K235" i="4"/>
  <c r="J236" i="4"/>
  <c r="K236" i="4"/>
  <c r="J237" i="4"/>
  <c r="K237" i="4"/>
  <c r="J238" i="4"/>
  <c r="K238" i="4"/>
  <c r="J239" i="4"/>
  <c r="K239" i="4"/>
  <c r="J240" i="4"/>
  <c r="K240" i="4"/>
  <c r="J241" i="4"/>
  <c r="K241" i="4"/>
  <c r="J242" i="4"/>
  <c r="K242" i="4"/>
  <c r="J243" i="4"/>
  <c r="K243" i="4"/>
  <c r="J244" i="4"/>
  <c r="K244" i="4"/>
  <c r="J245" i="4"/>
  <c r="K245" i="4"/>
  <c r="J246" i="4"/>
  <c r="K246" i="4"/>
  <c r="J247" i="4"/>
  <c r="K247" i="4"/>
  <c r="J248" i="4"/>
  <c r="K248" i="4"/>
  <c r="J249" i="4"/>
  <c r="K249" i="4"/>
  <c r="J250" i="4"/>
  <c r="K250" i="4"/>
  <c r="J251" i="4"/>
  <c r="K251" i="4"/>
  <c r="J252" i="4"/>
  <c r="K252" i="4"/>
  <c r="J253" i="4"/>
  <c r="K253" i="4"/>
  <c r="J254" i="4"/>
  <c r="K254" i="4"/>
  <c r="J255" i="4"/>
  <c r="K255" i="4"/>
  <c r="J256" i="4"/>
  <c r="K256" i="4"/>
  <c r="J257" i="4"/>
  <c r="K257" i="4"/>
  <c r="J258" i="4"/>
  <c r="K258" i="4"/>
  <c r="J259" i="4"/>
  <c r="K259" i="4"/>
  <c r="J260" i="4"/>
  <c r="K260" i="4"/>
  <c r="J261" i="4"/>
  <c r="K261" i="4"/>
  <c r="J262" i="4"/>
  <c r="K262" i="4"/>
  <c r="J263" i="4"/>
  <c r="K263" i="4"/>
  <c r="J264" i="4"/>
  <c r="K264" i="4"/>
  <c r="K265" i="4"/>
  <c r="R264" i="4"/>
  <c r="S264" i="4"/>
  <c r="R263" i="4"/>
  <c r="S263" i="4"/>
  <c r="R262" i="4"/>
  <c r="S262" i="4"/>
  <c r="R261" i="4"/>
  <c r="S261" i="4"/>
  <c r="R260" i="4"/>
  <c r="S260" i="4"/>
  <c r="R259" i="4"/>
  <c r="S259" i="4"/>
  <c r="R258" i="4"/>
  <c r="S258" i="4"/>
  <c r="R257" i="4"/>
  <c r="S257" i="4"/>
  <c r="R256" i="4"/>
  <c r="S256" i="4"/>
  <c r="R255" i="4"/>
  <c r="S255" i="4"/>
  <c r="R254" i="4"/>
  <c r="S254" i="4"/>
  <c r="R253" i="4"/>
  <c r="S253" i="4"/>
  <c r="R252" i="4"/>
  <c r="S252" i="4"/>
  <c r="N227" i="4"/>
  <c r="O227" i="4"/>
  <c r="N228" i="4"/>
  <c r="O228" i="4"/>
  <c r="N229" i="4"/>
  <c r="O229" i="4"/>
  <c r="N230" i="4"/>
  <c r="O230" i="4"/>
  <c r="N231" i="4"/>
  <c r="O231" i="4"/>
  <c r="N232" i="4"/>
  <c r="O232" i="4"/>
  <c r="N233" i="4"/>
  <c r="O233" i="4"/>
  <c r="N234" i="4"/>
  <c r="O234" i="4"/>
  <c r="N235" i="4"/>
  <c r="O235" i="4"/>
  <c r="N236" i="4"/>
  <c r="O236" i="4"/>
  <c r="N237" i="4"/>
  <c r="O237" i="4"/>
  <c r="N238" i="4"/>
  <c r="O238" i="4"/>
  <c r="N239" i="4"/>
  <c r="O239" i="4"/>
  <c r="N240" i="4"/>
  <c r="O240" i="4"/>
  <c r="N241" i="4"/>
  <c r="O241" i="4"/>
  <c r="N242" i="4"/>
  <c r="O242" i="4"/>
  <c r="N243" i="4"/>
  <c r="O243" i="4"/>
  <c r="N244" i="4"/>
  <c r="O244" i="4"/>
  <c r="N245" i="4"/>
  <c r="O245" i="4"/>
  <c r="N246" i="4"/>
  <c r="O246" i="4"/>
  <c r="N247" i="4"/>
  <c r="O247" i="4"/>
  <c r="N248" i="4"/>
  <c r="O248" i="4"/>
  <c r="N249" i="4"/>
  <c r="O249" i="4"/>
  <c r="N250" i="4"/>
  <c r="O250" i="4"/>
  <c r="O252" i="4"/>
  <c r="R251" i="4"/>
  <c r="S251" i="4"/>
  <c r="R250" i="4"/>
  <c r="S250" i="4"/>
  <c r="R249" i="4"/>
  <c r="S249" i="4"/>
  <c r="R248" i="4"/>
  <c r="S248" i="4"/>
  <c r="R247" i="4"/>
  <c r="S247" i="4"/>
  <c r="R246" i="4"/>
  <c r="S246" i="4"/>
  <c r="R245" i="4"/>
  <c r="S245" i="4"/>
  <c r="R244" i="4"/>
  <c r="S244" i="4"/>
  <c r="R243" i="4"/>
  <c r="S243" i="4"/>
  <c r="R242" i="4"/>
  <c r="S242" i="4"/>
  <c r="R241" i="4"/>
  <c r="S241" i="4"/>
  <c r="R240" i="4"/>
  <c r="S240" i="4"/>
  <c r="R239" i="4"/>
  <c r="S239" i="4"/>
  <c r="R238" i="4"/>
  <c r="S238" i="4"/>
  <c r="R237" i="4"/>
  <c r="S237" i="4"/>
  <c r="R236" i="4"/>
  <c r="S236" i="4"/>
  <c r="R235" i="4"/>
  <c r="S235" i="4"/>
  <c r="R234" i="4"/>
  <c r="S234" i="4"/>
  <c r="R233" i="4"/>
  <c r="S233" i="4"/>
  <c r="R232" i="4"/>
  <c r="S232" i="4"/>
  <c r="R231" i="4"/>
  <c r="S231" i="4"/>
  <c r="R230" i="4"/>
  <c r="S230" i="4"/>
  <c r="R229" i="4"/>
  <c r="S229" i="4"/>
  <c r="R228" i="4"/>
  <c r="S228" i="4"/>
  <c r="R227" i="4"/>
  <c r="S227" i="4"/>
  <c r="F220" i="4"/>
  <c r="G220" i="4"/>
  <c r="F219" i="4"/>
  <c r="G219" i="4"/>
  <c r="F218" i="4"/>
  <c r="G218" i="4"/>
  <c r="F217" i="4"/>
  <c r="G217" i="4"/>
  <c r="F216" i="4"/>
  <c r="G216" i="4"/>
  <c r="F215" i="4"/>
  <c r="G215" i="4"/>
  <c r="F214" i="4"/>
  <c r="G214" i="4"/>
  <c r="F213" i="4"/>
  <c r="G213" i="4"/>
  <c r="F212" i="4"/>
  <c r="G212" i="4"/>
  <c r="F211" i="4"/>
  <c r="G211" i="4"/>
  <c r="F210" i="4"/>
  <c r="G210" i="4"/>
  <c r="F209" i="4"/>
  <c r="G209" i="4"/>
  <c r="F208" i="4"/>
  <c r="G208" i="4"/>
  <c r="F207" i="4"/>
  <c r="G207" i="4"/>
  <c r="F206" i="4"/>
  <c r="G206" i="4"/>
  <c r="F205" i="4"/>
  <c r="G205" i="4"/>
  <c r="F204" i="4"/>
  <c r="G204" i="4"/>
  <c r="F203" i="4"/>
  <c r="G203" i="4"/>
  <c r="F202" i="4"/>
  <c r="G202" i="4"/>
  <c r="F201" i="4"/>
  <c r="G201" i="4"/>
  <c r="F200" i="4"/>
  <c r="G200" i="4"/>
  <c r="F199" i="4"/>
  <c r="G199" i="4"/>
  <c r="F198" i="4"/>
  <c r="G198" i="4"/>
  <c r="F197" i="4"/>
  <c r="G197" i="4"/>
  <c r="F196" i="4"/>
  <c r="G196" i="4"/>
  <c r="F195" i="4"/>
  <c r="G195" i="4"/>
  <c r="F194" i="4"/>
  <c r="G194" i="4"/>
  <c r="F193" i="4"/>
  <c r="G193" i="4"/>
  <c r="F192" i="4"/>
  <c r="G192" i="4"/>
  <c r="F191" i="4"/>
  <c r="G191" i="4"/>
  <c r="F190" i="4"/>
  <c r="G190" i="4"/>
  <c r="F189" i="4"/>
  <c r="G189" i="4"/>
  <c r="F188" i="4"/>
  <c r="G188" i="4"/>
  <c r="F187" i="4"/>
  <c r="G187" i="4"/>
  <c r="F186" i="4"/>
  <c r="G186" i="4"/>
  <c r="F185" i="4"/>
  <c r="G185" i="4"/>
  <c r="F184" i="4"/>
  <c r="G184" i="4"/>
  <c r="F183" i="4"/>
  <c r="G183" i="4"/>
  <c r="F182" i="4"/>
  <c r="G182" i="4"/>
  <c r="F181" i="4"/>
  <c r="G181" i="4"/>
  <c r="F180" i="4"/>
  <c r="G180" i="4"/>
  <c r="F179" i="4"/>
  <c r="G179" i="4"/>
  <c r="F178" i="4"/>
  <c r="G178" i="4"/>
  <c r="F177" i="4"/>
  <c r="G177" i="4"/>
  <c r="F176" i="4"/>
  <c r="G176" i="4"/>
  <c r="F175" i="4"/>
  <c r="G175" i="4"/>
  <c r="F174" i="4"/>
  <c r="G174" i="4"/>
  <c r="F173" i="4"/>
  <c r="G173" i="4"/>
  <c r="F172" i="4"/>
  <c r="G172" i="4"/>
  <c r="F171" i="4"/>
  <c r="G171" i="4"/>
  <c r="F170" i="4"/>
  <c r="G170" i="4"/>
  <c r="F169" i="4"/>
  <c r="G169" i="4"/>
  <c r="F168" i="4"/>
  <c r="G168" i="4"/>
  <c r="F167" i="4"/>
  <c r="G167" i="4"/>
  <c r="F166" i="4"/>
  <c r="G166" i="4"/>
  <c r="F165" i="4"/>
  <c r="G165" i="4"/>
  <c r="F164" i="4"/>
  <c r="G164" i="4"/>
  <c r="F163" i="4"/>
  <c r="G163" i="4"/>
  <c r="F162" i="4"/>
  <c r="G162" i="4"/>
  <c r="F161" i="4"/>
  <c r="G161" i="4"/>
  <c r="F160" i="4"/>
  <c r="G160" i="4"/>
  <c r="F159" i="4"/>
  <c r="G159" i="4"/>
  <c r="F158" i="4"/>
  <c r="G158" i="4"/>
  <c r="F157" i="4"/>
  <c r="G157" i="4"/>
  <c r="F156" i="4"/>
  <c r="G156" i="4"/>
  <c r="F155" i="4"/>
  <c r="G155" i="4"/>
  <c r="F154" i="4"/>
  <c r="G154" i="4"/>
  <c r="F153" i="4"/>
  <c r="G153" i="4"/>
  <c r="F152" i="4"/>
  <c r="G152" i="4"/>
  <c r="F151" i="4"/>
  <c r="G151" i="4"/>
  <c r="F150" i="4"/>
  <c r="G150" i="4"/>
  <c r="F149" i="4"/>
  <c r="G149" i="4"/>
  <c r="F148" i="4"/>
  <c r="G148" i="4"/>
  <c r="F147" i="4"/>
  <c r="G147" i="4"/>
  <c r="F146" i="4"/>
  <c r="G146" i="4"/>
  <c r="F145" i="4"/>
  <c r="G145" i="4"/>
  <c r="F144" i="4"/>
  <c r="G144" i="4"/>
  <c r="F143" i="4"/>
  <c r="G143" i="4"/>
  <c r="F142" i="4"/>
  <c r="G142" i="4"/>
  <c r="F141" i="4"/>
  <c r="G141" i="4"/>
  <c r="F140" i="4"/>
  <c r="G140" i="4"/>
  <c r="F139" i="4"/>
  <c r="G139" i="4"/>
  <c r="F138" i="4"/>
  <c r="G138" i="4"/>
  <c r="F137" i="4"/>
  <c r="G137" i="4"/>
  <c r="F136" i="4"/>
  <c r="G136" i="4"/>
  <c r="F135" i="4"/>
  <c r="G135" i="4"/>
  <c r="F134" i="4"/>
  <c r="G134" i="4"/>
  <c r="F133" i="4"/>
  <c r="G133" i="4"/>
  <c r="F132" i="4"/>
  <c r="G132" i="4"/>
  <c r="F131" i="4"/>
  <c r="G131" i="4"/>
  <c r="F130" i="4"/>
  <c r="G130" i="4"/>
  <c r="F129" i="4"/>
  <c r="G129" i="4"/>
  <c r="F128" i="4"/>
  <c r="G128" i="4"/>
  <c r="F127" i="4"/>
  <c r="G127" i="4"/>
  <c r="F126" i="4"/>
  <c r="G126" i="4"/>
  <c r="F125" i="4"/>
  <c r="G125" i="4"/>
  <c r="F124" i="4"/>
  <c r="G124" i="4"/>
  <c r="F123" i="4"/>
  <c r="G123" i="4"/>
  <c r="F122" i="4"/>
  <c r="G122" i="4"/>
  <c r="F121" i="4"/>
  <c r="G121" i="4"/>
  <c r="F120" i="4"/>
  <c r="G120" i="4"/>
  <c r="F119" i="4"/>
  <c r="G119" i="4"/>
  <c r="K118" i="4"/>
  <c r="J118" i="4"/>
  <c r="F118" i="4"/>
  <c r="G118" i="4"/>
  <c r="K117" i="4"/>
  <c r="J117" i="4"/>
  <c r="F117" i="4"/>
  <c r="G117" i="4"/>
  <c r="K116" i="4"/>
  <c r="J116" i="4"/>
  <c r="F116" i="4"/>
  <c r="G116" i="4"/>
  <c r="K115" i="4"/>
  <c r="J115" i="4"/>
  <c r="F115" i="4"/>
  <c r="G115" i="4"/>
  <c r="K110" i="4"/>
  <c r="J110" i="4"/>
  <c r="F110" i="4"/>
  <c r="E110" i="4"/>
  <c r="K109" i="4"/>
  <c r="J109" i="4"/>
  <c r="F109" i="4"/>
  <c r="E109" i="4"/>
  <c r="K108" i="4"/>
  <c r="J108" i="4"/>
  <c r="F108" i="4"/>
  <c r="E108" i="4"/>
  <c r="K107" i="4"/>
  <c r="J107" i="4"/>
  <c r="F107" i="4"/>
  <c r="E107" i="4"/>
  <c r="K106" i="4"/>
  <c r="J106" i="4"/>
  <c r="F106" i="4"/>
  <c r="E106" i="4"/>
  <c r="K105" i="4"/>
  <c r="J105" i="4"/>
  <c r="F105" i="4"/>
  <c r="E105" i="4"/>
  <c r="K104" i="4"/>
  <c r="J104" i="4"/>
  <c r="F104" i="4"/>
  <c r="E104" i="4"/>
  <c r="K103" i="4"/>
  <c r="J103" i="4"/>
  <c r="F103" i="4"/>
  <c r="E103" i="4"/>
  <c r="K102" i="4"/>
  <c r="J102" i="4"/>
  <c r="F102" i="4"/>
  <c r="E102" i="4"/>
  <c r="K101" i="4"/>
  <c r="J101" i="4"/>
  <c r="F101" i="4"/>
  <c r="E101" i="4"/>
  <c r="K100" i="4"/>
  <c r="J100" i="4"/>
  <c r="F100" i="4"/>
  <c r="E100" i="4"/>
  <c r="K99" i="4"/>
  <c r="J99" i="4"/>
  <c r="F99" i="4"/>
  <c r="E99" i="4"/>
  <c r="K98" i="4"/>
  <c r="J98" i="4"/>
  <c r="F98" i="4"/>
  <c r="E98" i="4"/>
  <c r="K97" i="4"/>
  <c r="J97" i="4"/>
  <c r="F97" i="4"/>
  <c r="E97" i="4"/>
  <c r="K96" i="4"/>
  <c r="J96" i="4"/>
  <c r="F96" i="4"/>
  <c r="E96" i="4"/>
  <c r="K95" i="4"/>
  <c r="J95" i="4"/>
  <c r="F95" i="4"/>
  <c r="E95" i="4"/>
  <c r="K94" i="4"/>
  <c r="J94" i="4"/>
  <c r="F94" i="4"/>
  <c r="E94" i="4"/>
  <c r="K93" i="4"/>
  <c r="J93" i="4"/>
  <c r="F93" i="4"/>
  <c r="E93" i="4"/>
  <c r="K92" i="4"/>
  <c r="J92" i="4"/>
  <c r="F92" i="4"/>
  <c r="E92" i="4"/>
  <c r="K91" i="4"/>
  <c r="J91" i="4"/>
  <c r="F91" i="4"/>
  <c r="E91" i="4"/>
  <c r="K90" i="4"/>
  <c r="J90" i="4"/>
  <c r="F90" i="4"/>
  <c r="E90" i="4"/>
  <c r="K89" i="4"/>
  <c r="J89" i="4"/>
  <c r="F89" i="4"/>
  <c r="E89" i="4"/>
  <c r="K88" i="4"/>
  <c r="J88" i="4"/>
  <c r="F88" i="4"/>
  <c r="E88" i="4"/>
  <c r="K87" i="4"/>
  <c r="J87" i="4"/>
  <c r="F87" i="4"/>
  <c r="E87" i="4"/>
  <c r="K86" i="4"/>
  <c r="J86" i="4"/>
  <c r="F86" i="4"/>
  <c r="E86" i="4"/>
  <c r="K85" i="4"/>
  <c r="J85" i="4"/>
  <c r="F85" i="4"/>
  <c r="E85" i="4"/>
  <c r="K84" i="4"/>
  <c r="J84" i="4"/>
  <c r="F84" i="4"/>
  <c r="E84" i="4"/>
  <c r="K83" i="4"/>
  <c r="J83" i="4"/>
  <c r="F83" i="4"/>
  <c r="E83" i="4"/>
  <c r="K82" i="4"/>
  <c r="J82" i="4"/>
  <c r="F82" i="4"/>
  <c r="E82" i="4"/>
  <c r="K81" i="4"/>
  <c r="J81" i="4"/>
  <c r="F81" i="4"/>
  <c r="E81" i="4"/>
  <c r="K80" i="4"/>
  <c r="J80" i="4"/>
  <c r="F80" i="4"/>
  <c r="E80" i="4"/>
  <c r="K79" i="4"/>
  <c r="J79" i="4"/>
  <c r="F79" i="4"/>
  <c r="E79" i="4"/>
  <c r="K78" i="4"/>
  <c r="J78" i="4"/>
  <c r="F78" i="4"/>
  <c r="E78" i="4"/>
  <c r="K77" i="4"/>
  <c r="J77" i="4"/>
  <c r="F77" i="4"/>
  <c r="E77" i="4"/>
  <c r="K76" i="4"/>
  <c r="J76" i="4"/>
  <c r="F76" i="4"/>
  <c r="E76" i="4"/>
  <c r="K75" i="4"/>
  <c r="J75" i="4"/>
  <c r="F75" i="4"/>
  <c r="E75" i="4"/>
  <c r="K74" i="4"/>
  <c r="J74" i="4"/>
  <c r="F74" i="4"/>
  <c r="E74" i="4"/>
  <c r="K73" i="4"/>
  <c r="J73" i="4"/>
  <c r="F73" i="4"/>
  <c r="E73" i="4"/>
  <c r="K72" i="4"/>
  <c r="J72" i="4"/>
  <c r="F72" i="4"/>
  <c r="E72" i="4"/>
  <c r="Q71" i="4"/>
  <c r="P71" i="4"/>
  <c r="O71" i="4"/>
  <c r="N71" i="4"/>
  <c r="M71" i="4"/>
  <c r="L71" i="4"/>
  <c r="K71" i="4"/>
  <c r="J71" i="4"/>
  <c r="F71" i="4"/>
  <c r="E71" i="4"/>
  <c r="K70" i="4"/>
  <c r="J70" i="4"/>
  <c r="F70" i="4"/>
  <c r="E70" i="4"/>
  <c r="K69" i="4"/>
  <c r="J69" i="4"/>
  <c r="F69" i="4"/>
  <c r="E69" i="4"/>
  <c r="K68" i="4"/>
  <c r="J68" i="4"/>
  <c r="F68" i="4"/>
  <c r="E68" i="4"/>
  <c r="K67" i="4"/>
  <c r="J67" i="4"/>
  <c r="F67" i="4"/>
  <c r="E67" i="4"/>
  <c r="K66" i="4"/>
  <c r="J66" i="4"/>
  <c r="F66" i="4"/>
  <c r="E66" i="4"/>
  <c r="Q65" i="4"/>
  <c r="P65" i="4"/>
  <c r="O65" i="4"/>
  <c r="N65" i="4"/>
  <c r="M65" i="4"/>
  <c r="L65" i="4"/>
  <c r="K65" i="4"/>
  <c r="J65" i="4"/>
  <c r="F65" i="4"/>
  <c r="E65" i="4"/>
  <c r="Q64" i="4"/>
  <c r="P64" i="4"/>
  <c r="O64" i="4"/>
  <c r="N64" i="4"/>
  <c r="M64" i="4"/>
  <c r="L64" i="4"/>
  <c r="K64" i="4"/>
  <c r="J64" i="4"/>
  <c r="F64" i="4"/>
  <c r="E64" i="4"/>
  <c r="K63" i="4"/>
  <c r="J63" i="4"/>
  <c r="F63" i="4"/>
  <c r="E63" i="4"/>
  <c r="K62" i="4"/>
  <c r="J62" i="4"/>
  <c r="F62" i="4"/>
  <c r="E62" i="4"/>
  <c r="K61" i="4"/>
  <c r="J61" i="4"/>
  <c r="F61" i="4"/>
  <c r="E61" i="4"/>
  <c r="Q60" i="4"/>
  <c r="P60" i="4"/>
  <c r="O60" i="4"/>
  <c r="N60" i="4"/>
  <c r="M60" i="4"/>
  <c r="L60" i="4"/>
  <c r="K60" i="4"/>
  <c r="J60" i="4"/>
  <c r="F60" i="4"/>
  <c r="E60" i="4"/>
  <c r="K59" i="4"/>
  <c r="J59" i="4"/>
  <c r="F59" i="4"/>
  <c r="E59" i="4"/>
  <c r="Q58" i="4"/>
  <c r="P58" i="4"/>
  <c r="O58" i="4"/>
  <c r="N58" i="4"/>
  <c r="M58" i="4"/>
  <c r="L58" i="4"/>
  <c r="K58" i="4"/>
  <c r="J58" i="4"/>
  <c r="F58" i="4"/>
  <c r="E58" i="4"/>
  <c r="Q57" i="4"/>
  <c r="P57" i="4"/>
  <c r="O57" i="4"/>
  <c r="N57" i="4"/>
  <c r="M57" i="4"/>
  <c r="L57" i="4"/>
  <c r="K57" i="4"/>
  <c r="J57" i="4"/>
  <c r="F57" i="4"/>
  <c r="E57" i="4"/>
  <c r="Q56" i="4"/>
  <c r="P56" i="4"/>
  <c r="O56" i="4"/>
  <c r="N56" i="4"/>
  <c r="M56" i="4"/>
  <c r="L56" i="4"/>
  <c r="K56" i="4"/>
  <c r="J56" i="4"/>
  <c r="F56" i="4"/>
  <c r="E56" i="4"/>
  <c r="Q55" i="4"/>
  <c r="P55" i="4"/>
  <c r="O55" i="4"/>
  <c r="N55" i="4"/>
  <c r="M55" i="4"/>
  <c r="L55" i="4"/>
  <c r="K55" i="4"/>
  <c r="J55" i="4"/>
  <c r="F55" i="4"/>
  <c r="E55" i="4"/>
  <c r="K54" i="4"/>
  <c r="J54" i="4"/>
  <c r="F54" i="4"/>
  <c r="E54" i="4"/>
  <c r="K53" i="4"/>
  <c r="J53" i="4"/>
  <c r="F53" i="4"/>
  <c r="E53" i="4"/>
  <c r="Q52" i="4"/>
  <c r="P52" i="4"/>
  <c r="O52" i="4"/>
  <c r="N52" i="4"/>
  <c r="M52" i="4"/>
  <c r="L52" i="4"/>
  <c r="K52" i="4"/>
  <c r="J52" i="4"/>
  <c r="F52" i="4"/>
  <c r="E52" i="4"/>
  <c r="K51" i="4"/>
  <c r="J51" i="4"/>
  <c r="F51" i="4"/>
  <c r="E51" i="4"/>
  <c r="K50" i="4"/>
  <c r="J50" i="4"/>
  <c r="F50" i="4"/>
  <c r="E50" i="4"/>
  <c r="K49" i="4"/>
  <c r="J49" i="4"/>
  <c r="F49" i="4"/>
  <c r="E49" i="4"/>
  <c r="K48" i="4"/>
  <c r="J48" i="4"/>
  <c r="F48" i="4"/>
  <c r="E48" i="4"/>
  <c r="K47" i="4"/>
  <c r="J47" i="4"/>
  <c r="F47" i="4"/>
  <c r="E47" i="4"/>
  <c r="K46" i="4"/>
  <c r="J46" i="4"/>
  <c r="F46" i="4"/>
  <c r="E46" i="4"/>
  <c r="K45" i="4"/>
  <c r="J45" i="4"/>
  <c r="F45" i="4"/>
  <c r="E45" i="4"/>
  <c r="K44" i="4"/>
  <c r="J44" i="4"/>
  <c r="F44" i="4"/>
  <c r="E44" i="4"/>
  <c r="Q43" i="4"/>
  <c r="P43" i="4"/>
  <c r="O43" i="4"/>
  <c r="N43" i="4"/>
  <c r="M43" i="4"/>
  <c r="L43" i="4"/>
  <c r="K43" i="4"/>
  <c r="J43" i="4"/>
  <c r="F43" i="4"/>
  <c r="E43" i="4"/>
  <c r="K42" i="4"/>
  <c r="J42" i="4"/>
  <c r="F42" i="4"/>
  <c r="E42" i="4"/>
  <c r="K41" i="4"/>
  <c r="J41" i="4"/>
  <c r="F41" i="4"/>
  <c r="E41" i="4"/>
  <c r="K40" i="4"/>
  <c r="J40" i="4"/>
  <c r="F40" i="4"/>
  <c r="E40" i="4"/>
  <c r="Q39" i="4"/>
  <c r="P39" i="4"/>
  <c r="O39" i="4"/>
  <c r="N39" i="4"/>
  <c r="M39" i="4"/>
  <c r="L39" i="4"/>
  <c r="K39" i="4"/>
  <c r="J39" i="4"/>
  <c r="F39" i="4"/>
  <c r="E39" i="4"/>
  <c r="K38" i="4"/>
  <c r="J38" i="4"/>
  <c r="F38" i="4"/>
  <c r="E38" i="4"/>
  <c r="K37" i="4"/>
  <c r="J37" i="4"/>
  <c r="F37" i="4"/>
  <c r="E37" i="4"/>
  <c r="K36" i="4"/>
  <c r="J36" i="4"/>
  <c r="F36" i="4"/>
  <c r="E36" i="4"/>
  <c r="K35" i="4"/>
  <c r="J35" i="4"/>
  <c r="F35" i="4"/>
  <c r="E35" i="4"/>
  <c r="K34" i="4"/>
  <c r="J34" i="4"/>
  <c r="F34" i="4"/>
  <c r="E34" i="4"/>
  <c r="K33" i="4"/>
  <c r="J33" i="4"/>
  <c r="F33" i="4"/>
  <c r="E33" i="4"/>
  <c r="K32" i="4"/>
  <c r="J32" i="4"/>
  <c r="F32" i="4"/>
  <c r="E32" i="4"/>
  <c r="K31" i="4"/>
  <c r="J31" i="4"/>
  <c r="F31" i="4"/>
  <c r="E31" i="4"/>
  <c r="K30" i="4"/>
  <c r="J30" i="4"/>
  <c r="F30" i="4"/>
  <c r="E30" i="4"/>
  <c r="Q29" i="4"/>
  <c r="P29" i="4"/>
  <c r="O29" i="4"/>
  <c r="N29" i="4"/>
  <c r="M29" i="4"/>
  <c r="L29" i="4"/>
  <c r="K29" i="4"/>
  <c r="J29" i="4"/>
  <c r="F29" i="4"/>
  <c r="E29" i="4"/>
  <c r="Q28" i="4"/>
  <c r="P28" i="4"/>
  <c r="O28" i="4"/>
  <c r="N28" i="4"/>
  <c r="M28" i="4"/>
  <c r="L28" i="4"/>
  <c r="K28" i="4"/>
  <c r="J28" i="4"/>
  <c r="F28" i="4"/>
  <c r="E28" i="4"/>
  <c r="Q27" i="4"/>
  <c r="P27" i="4"/>
  <c r="O27" i="4"/>
  <c r="N27" i="4"/>
  <c r="M27" i="4"/>
  <c r="L27" i="4"/>
  <c r="K27" i="4"/>
  <c r="J27" i="4"/>
  <c r="F27" i="4"/>
  <c r="E27" i="4"/>
  <c r="Q26" i="4"/>
  <c r="P26" i="4"/>
  <c r="O26" i="4"/>
  <c r="N26" i="4"/>
  <c r="M26" i="4"/>
  <c r="L26" i="4"/>
  <c r="K26" i="4"/>
  <c r="J26" i="4"/>
  <c r="F26" i="4"/>
  <c r="E26" i="4"/>
  <c r="K25" i="4"/>
  <c r="J25" i="4"/>
  <c r="F25" i="4"/>
  <c r="E25" i="4"/>
  <c r="Q24" i="4"/>
  <c r="P24" i="4"/>
  <c r="O24" i="4"/>
  <c r="N24" i="4"/>
  <c r="M24" i="4"/>
  <c r="L24" i="4"/>
  <c r="K24" i="4"/>
  <c r="J24" i="4"/>
  <c r="F24" i="4"/>
  <c r="E24" i="4"/>
  <c r="K23" i="4"/>
  <c r="J23" i="4"/>
  <c r="F23" i="4"/>
  <c r="E23" i="4"/>
  <c r="K22" i="4"/>
  <c r="J22" i="4"/>
  <c r="F22" i="4"/>
  <c r="E22" i="4"/>
  <c r="Q21" i="4"/>
  <c r="P21" i="4"/>
  <c r="O21" i="4"/>
  <c r="N21" i="4"/>
  <c r="M21" i="4"/>
  <c r="L21" i="4"/>
  <c r="K21" i="4"/>
  <c r="J21" i="4"/>
  <c r="F21" i="4"/>
  <c r="E21" i="4"/>
  <c r="K20" i="4"/>
  <c r="J20" i="4"/>
  <c r="F20" i="4"/>
  <c r="E20" i="4"/>
  <c r="Q19" i="4"/>
  <c r="P19" i="4"/>
  <c r="O19" i="4"/>
  <c r="N19" i="4"/>
  <c r="M19" i="4"/>
  <c r="L19" i="4"/>
  <c r="K19" i="4"/>
  <c r="J19" i="4"/>
  <c r="F19" i="4"/>
  <c r="E19" i="4"/>
  <c r="Q18" i="4"/>
  <c r="P18" i="4"/>
  <c r="O18" i="4"/>
  <c r="N18" i="4"/>
  <c r="M18" i="4"/>
  <c r="L18" i="4"/>
  <c r="K18" i="4"/>
  <c r="J18" i="4"/>
  <c r="F18" i="4"/>
  <c r="E18" i="4"/>
  <c r="K17" i="4"/>
  <c r="J17" i="4"/>
  <c r="F17" i="4"/>
  <c r="E17" i="4"/>
  <c r="K16" i="4"/>
  <c r="J16" i="4"/>
  <c r="F16" i="4"/>
  <c r="E16" i="4"/>
  <c r="K15" i="4"/>
  <c r="J15" i="4"/>
  <c r="F15" i="4"/>
  <c r="E15" i="4"/>
  <c r="K14" i="4"/>
  <c r="J14" i="4"/>
  <c r="F14" i="4"/>
  <c r="E14" i="4"/>
  <c r="K13" i="4"/>
  <c r="J13" i="4"/>
  <c r="F13" i="4"/>
  <c r="E13" i="4"/>
  <c r="Q12" i="4"/>
  <c r="P12" i="4"/>
  <c r="O12" i="4"/>
  <c r="N12" i="4"/>
  <c r="M12" i="4"/>
  <c r="L12" i="4"/>
  <c r="K12" i="4"/>
  <c r="J12" i="4"/>
  <c r="F12" i="4"/>
  <c r="E12" i="4"/>
  <c r="Q11" i="4"/>
  <c r="P11" i="4"/>
  <c r="O11" i="4"/>
  <c r="N11" i="4"/>
  <c r="M11" i="4"/>
  <c r="L11" i="4"/>
  <c r="K11" i="4"/>
  <c r="J11" i="4"/>
  <c r="F11" i="4"/>
  <c r="E11" i="4"/>
  <c r="Q10" i="4"/>
  <c r="P10" i="4"/>
  <c r="O10" i="4"/>
  <c r="N10" i="4"/>
  <c r="M10" i="4"/>
  <c r="L10" i="4"/>
  <c r="K10" i="4"/>
  <c r="J10" i="4"/>
  <c r="F10" i="4"/>
  <c r="E10" i="4"/>
  <c r="Q9" i="4"/>
  <c r="P9" i="4"/>
  <c r="O9" i="4"/>
  <c r="N9" i="4"/>
  <c r="M9" i="4"/>
  <c r="L9" i="4"/>
  <c r="K9" i="4"/>
  <c r="J9" i="4"/>
  <c r="F9" i="4"/>
  <c r="E9" i="4"/>
  <c r="Q8" i="4"/>
  <c r="P8" i="4"/>
  <c r="O8" i="4"/>
  <c r="N8" i="4"/>
  <c r="M8" i="4"/>
  <c r="L8" i="4"/>
  <c r="K8" i="4"/>
  <c r="J8" i="4"/>
  <c r="F8" i="4"/>
  <c r="E8" i="4"/>
  <c r="K7" i="4"/>
  <c r="J7" i="4"/>
  <c r="F7" i="4"/>
  <c r="E7" i="4"/>
  <c r="Q6" i="4"/>
  <c r="P6" i="4"/>
  <c r="O6" i="4"/>
  <c r="N6" i="4"/>
  <c r="M6" i="4"/>
  <c r="L6" i="4"/>
  <c r="K6" i="4"/>
  <c r="J6" i="4"/>
  <c r="F6" i="4"/>
  <c r="E6" i="4"/>
  <c r="Q5" i="4"/>
  <c r="P5" i="4"/>
  <c r="O5" i="4"/>
  <c r="N5" i="4"/>
  <c r="M5" i="4"/>
  <c r="L5" i="4"/>
  <c r="K5" i="4"/>
  <c r="J5" i="4"/>
  <c r="F5" i="4"/>
  <c r="E5" i="4"/>
  <c r="Q4" i="4"/>
  <c r="P4" i="4"/>
  <c r="O4" i="4"/>
  <c r="N4" i="4"/>
  <c r="M4" i="4"/>
  <c r="L4" i="4"/>
  <c r="K4" i="4"/>
  <c r="J4" i="4"/>
  <c r="G4" i="4"/>
  <c r="F4" i="4"/>
  <c r="E4" i="4"/>
  <c r="I286" i="3"/>
  <c r="B286" i="3"/>
  <c r="C286" i="3"/>
  <c r="D286" i="3"/>
  <c r="E286" i="3"/>
  <c r="F286" i="3"/>
  <c r="G286" i="3"/>
  <c r="H286" i="3"/>
  <c r="J286" i="3"/>
  <c r="I288" i="3"/>
  <c r="H288" i="3"/>
  <c r="G288" i="3"/>
  <c r="F288" i="3"/>
  <c r="E288" i="3"/>
  <c r="D288" i="3"/>
  <c r="C288" i="3"/>
  <c r="B288" i="3"/>
  <c r="I333" i="3"/>
  <c r="H333" i="3"/>
  <c r="G333" i="3"/>
  <c r="F333" i="3"/>
  <c r="E333" i="3"/>
  <c r="D333" i="3"/>
  <c r="C333" i="3"/>
  <c r="B333" i="3"/>
  <c r="J251" i="3"/>
  <c r="I251" i="3"/>
  <c r="H251" i="3"/>
  <c r="G251" i="3"/>
  <c r="F251" i="3"/>
  <c r="E251" i="3"/>
  <c r="D251" i="3"/>
  <c r="C251" i="3"/>
  <c r="J239" i="3"/>
  <c r="I239" i="3"/>
  <c r="H239" i="3"/>
  <c r="G239" i="3"/>
  <c r="F239" i="3"/>
  <c r="E239" i="3"/>
  <c r="D239" i="3"/>
  <c r="C239" i="3"/>
  <c r="J248" i="3"/>
  <c r="I248" i="3"/>
  <c r="H248" i="3"/>
  <c r="G248" i="3"/>
  <c r="F248" i="3"/>
  <c r="E248" i="3"/>
  <c r="D248" i="3"/>
  <c r="C248" i="3"/>
  <c r="J238" i="3"/>
  <c r="I238" i="3"/>
  <c r="H238" i="3"/>
  <c r="G238" i="3"/>
  <c r="F238" i="3"/>
  <c r="E238" i="3"/>
  <c r="D238" i="3"/>
  <c r="C238" i="3"/>
  <c r="J237" i="3"/>
  <c r="I237" i="3"/>
  <c r="H237" i="3"/>
  <c r="G237" i="3"/>
  <c r="F237" i="3"/>
  <c r="E237" i="3"/>
  <c r="D237" i="3"/>
  <c r="C237" i="3"/>
  <c r="J236" i="3"/>
  <c r="I236" i="3"/>
  <c r="H236" i="3"/>
  <c r="G236" i="3"/>
  <c r="F236" i="3"/>
  <c r="E236" i="3"/>
  <c r="D236" i="3"/>
  <c r="C236" i="3"/>
  <c r="J235" i="3"/>
  <c r="I235" i="3"/>
  <c r="H235" i="3"/>
  <c r="G235" i="3"/>
  <c r="F235" i="3"/>
  <c r="E235" i="3"/>
  <c r="D235" i="3"/>
  <c r="C235" i="3"/>
  <c r="J242" i="3"/>
  <c r="I242" i="3"/>
  <c r="H242" i="3"/>
  <c r="G242" i="3"/>
  <c r="F242" i="3"/>
  <c r="E242" i="3"/>
  <c r="D242" i="3"/>
  <c r="C242" i="3"/>
  <c r="J245" i="3"/>
  <c r="I245" i="3"/>
  <c r="H245" i="3"/>
  <c r="G245" i="3"/>
  <c r="F245" i="3"/>
  <c r="E245" i="3"/>
  <c r="D245" i="3"/>
  <c r="C245" i="3"/>
  <c r="J234" i="3"/>
  <c r="I234" i="3"/>
  <c r="H234" i="3"/>
  <c r="G234" i="3"/>
  <c r="F234" i="3"/>
  <c r="E234" i="3"/>
  <c r="D234" i="3"/>
  <c r="C234" i="3"/>
  <c r="J233" i="3"/>
  <c r="I233" i="3"/>
  <c r="H233" i="3"/>
  <c r="G233" i="3"/>
  <c r="F233" i="3"/>
  <c r="E233" i="3"/>
  <c r="D233" i="3"/>
  <c r="C233" i="3"/>
  <c r="J232" i="3"/>
  <c r="I232" i="3"/>
  <c r="H232" i="3"/>
  <c r="G232" i="3"/>
  <c r="F232" i="3"/>
  <c r="E232" i="3"/>
  <c r="D232" i="3"/>
  <c r="C232" i="3"/>
  <c r="J231" i="3"/>
  <c r="I231" i="3"/>
  <c r="H231" i="3"/>
  <c r="G231" i="3"/>
  <c r="F231" i="3"/>
  <c r="E231" i="3"/>
  <c r="D231" i="3"/>
  <c r="C231" i="3"/>
  <c r="J230" i="3"/>
  <c r="I230" i="3"/>
  <c r="H230" i="3"/>
  <c r="G230" i="3"/>
  <c r="F230" i="3"/>
  <c r="E230" i="3"/>
  <c r="D230" i="3"/>
  <c r="C230" i="3"/>
  <c r="T146" i="3"/>
  <c r="U146" i="3"/>
  <c r="V146" i="3"/>
  <c r="S146" i="3"/>
  <c r="T145" i="3"/>
  <c r="U145" i="3"/>
  <c r="V145" i="3"/>
  <c r="S145" i="3"/>
  <c r="T144" i="3"/>
  <c r="U144" i="3"/>
  <c r="V144" i="3"/>
  <c r="S144" i="3"/>
  <c r="T143" i="3"/>
  <c r="U143" i="3"/>
  <c r="V143" i="3"/>
  <c r="S143" i="3"/>
  <c r="T142" i="3"/>
  <c r="U142" i="3"/>
  <c r="V142" i="3"/>
  <c r="S142" i="3"/>
  <c r="T141" i="3"/>
  <c r="U141" i="3"/>
  <c r="V141" i="3"/>
  <c r="S141" i="3"/>
  <c r="T140" i="3"/>
  <c r="U140" i="3"/>
  <c r="V140" i="3"/>
  <c r="S140" i="3"/>
  <c r="T139" i="3"/>
  <c r="U139" i="3"/>
  <c r="V139" i="3"/>
  <c r="S139" i="3"/>
  <c r="T138" i="3"/>
  <c r="U138" i="3"/>
  <c r="V138" i="3"/>
  <c r="S138" i="3"/>
  <c r="T137" i="3"/>
  <c r="U137" i="3"/>
  <c r="V137" i="3"/>
  <c r="S137" i="3"/>
  <c r="T136" i="3"/>
  <c r="U136" i="3"/>
  <c r="V136" i="3"/>
  <c r="S136" i="3"/>
  <c r="T135" i="3"/>
  <c r="U135" i="3"/>
  <c r="V135" i="3"/>
  <c r="S135" i="3"/>
  <c r="T134" i="3"/>
  <c r="U134" i="3"/>
  <c r="V134" i="3"/>
  <c r="S134" i="3"/>
  <c r="T133" i="3"/>
  <c r="U133" i="3"/>
  <c r="V133" i="3"/>
  <c r="S133" i="3"/>
  <c r="T132" i="3"/>
  <c r="U132" i="3"/>
  <c r="V132" i="3"/>
  <c r="S132" i="3"/>
  <c r="T131" i="3"/>
  <c r="U131" i="3"/>
  <c r="V131" i="3"/>
  <c r="S131" i="3"/>
  <c r="T130" i="3"/>
  <c r="U130" i="3"/>
  <c r="V130" i="3"/>
  <c r="S130" i="3"/>
  <c r="T129" i="3"/>
  <c r="U129" i="3"/>
  <c r="V129" i="3"/>
  <c r="S129" i="3"/>
  <c r="T128" i="3"/>
  <c r="U128" i="3"/>
  <c r="V128" i="3"/>
  <c r="S128" i="3"/>
  <c r="T127" i="3"/>
  <c r="U127" i="3"/>
  <c r="V127" i="3"/>
  <c r="S127" i="3"/>
  <c r="T126" i="3"/>
  <c r="U126" i="3"/>
  <c r="V126" i="3"/>
  <c r="S126" i="3"/>
  <c r="L146" i="3"/>
  <c r="I146" i="3"/>
  <c r="H146" i="3"/>
  <c r="G146" i="3"/>
  <c r="F146" i="3"/>
  <c r="E146" i="3"/>
  <c r="D146" i="3"/>
  <c r="C146" i="3"/>
  <c r="B146" i="3"/>
  <c r="L145" i="3"/>
  <c r="I145" i="3"/>
  <c r="H145" i="3"/>
  <c r="G145" i="3"/>
  <c r="F145" i="3"/>
  <c r="E145" i="3"/>
  <c r="D145" i="3"/>
  <c r="C145" i="3"/>
  <c r="B145" i="3"/>
  <c r="L144" i="3"/>
  <c r="I144" i="3"/>
  <c r="H144" i="3"/>
  <c r="G144" i="3"/>
  <c r="F144" i="3"/>
  <c r="E144" i="3"/>
  <c r="D144" i="3"/>
  <c r="C144" i="3"/>
  <c r="B144" i="3"/>
  <c r="L143" i="3"/>
  <c r="I143" i="3"/>
  <c r="H143" i="3"/>
  <c r="G143" i="3"/>
  <c r="F143" i="3"/>
  <c r="E143" i="3"/>
  <c r="D143" i="3"/>
  <c r="C143" i="3"/>
  <c r="B143" i="3"/>
  <c r="L142" i="3"/>
  <c r="I142" i="3"/>
  <c r="H142" i="3"/>
  <c r="G142" i="3"/>
  <c r="F142" i="3"/>
  <c r="E142" i="3"/>
  <c r="D142" i="3"/>
  <c r="C142" i="3"/>
  <c r="B142" i="3"/>
  <c r="L141" i="3"/>
  <c r="I141" i="3"/>
  <c r="H141" i="3"/>
  <c r="G141" i="3"/>
  <c r="F141" i="3"/>
  <c r="E141" i="3"/>
  <c r="D141" i="3"/>
  <c r="C141" i="3"/>
  <c r="B141" i="3"/>
  <c r="L140" i="3"/>
  <c r="I140" i="3"/>
  <c r="H140" i="3"/>
  <c r="G140" i="3"/>
  <c r="F140" i="3"/>
  <c r="E140" i="3"/>
  <c r="D140" i="3"/>
  <c r="C140" i="3"/>
  <c r="B140" i="3"/>
  <c r="L139" i="3"/>
  <c r="I139" i="3"/>
  <c r="H139" i="3"/>
  <c r="G139" i="3"/>
  <c r="F139" i="3"/>
  <c r="E139" i="3"/>
  <c r="D139" i="3"/>
  <c r="C139" i="3"/>
  <c r="B139" i="3"/>
  <c r="L138" i="3"/>
  <c r="I138" i="3"/>
  <c r="H138" i="3"/>
  <c r="G138" i="3"/>
  <c r="F138" i="3"/>
  <c r="E138" i="3"/>
  <c r="D138" i="3"/>
  <c r="C138" i="3"/>
  <c r="B138" i="3"/>
  <c r="L137" i="3"/>
  <c r="I137" i="3"/>
  <c r="H137" i="3"/>
  <c r="G137" i="3"/>
  <c r="F137" i="3"/>
  <c r="E137" i="3"/>
  <c r="D137" i="3"/>
  <c r="C137" i="3"/>
  <c r="B137" i="3"/>
  <c r="L136" i="3"/>
  <c r="I136" i="3"/>
  <c r="H136" i="3"/>
  <c r="G136" i="3"/>
  <c r="F136" i="3"/>
  <c r="E136" i="3"/>
  <c r="D136" i="3"/>
  <c r="C136" i="3"/>
  <c r="B136" i="3"/>
  <c r="L135" i="3"/>
  <c r="I135" i="3"/>
  <c r="H135" i="3"/>
  <c r="G135" i="3"/>
  <c r="F135" i="3"/>
  <c r="E135" i="3"/>
  <c r="D135" i="3"/>
  <c r="C135" i="3"/>
  <c r="B135" i="3"/>
  <c r="L134" i="3"/>
  <c r="I134" i="3"/>
  <c r="H134" i="3"/>
  <c r="G134" i="3"/>
  <c r="F134" i="3"/>
  <c r="E134" i="3"/>
  <c r="D134" i="3"/>
  <c r="C134" i="3"/>
  <c r="B134" i="3"/>
  <c r="L133" i="3"/>
  <c r="I133" i="3"/>
  <c r="H133" i="3"/>
  <c r="G133" i="3"/>
  <c r="F133" i="3"/>
  <c r="E133" i="3"/>
  <c r="D133" i="3"/>
  <c r="C133" i="3"/>
  <c r="B133" i="3"/>
  <c r="L132" i="3"/>
  <c r="I132" i="3"/>
  <c r="H132" i="3"/>
  <c r="G132" i="3"/>
  <c r="F132" i="3"/>
  <c r="E132" i="3"/>
  <c r="D132" i="3"/>
  <c r="C132" i="3"/>
  <c r="B132" i="3"/>
  <c r="L131" i="3"/>
  <c r="I131" i="3"/>
  <c r="H131" i="3"/>
  <c r="G131" i="3"/>
  <c r="F131" i="3"/>
  <c r="E131" i="3"/>
  <c r="D131" i="3"/>
  <c r="C131" i="3"/>
  <c r="B131" i="3"/>
  <c r="L130" i="3"/>
  <c r="I130" i="3"/>
  <c r="H130" i="3"/>
  <c r="G130" i="3"/>
  <c r="F130" i="3"/>
  <c r="E130" i="3"/>
  <c r="D130" i="3"/>
  <c r="C130" i="3"/>
  <c r="B130" i="3"/>
  <c r="L129" i="3"/>
  <c r="I129" i="3"/>
  <c r="H129" i="3"/>
  <c r="G129" i="3"/>
  <c r="F129" i="3"/>
  <c r="E129" i="3"/>
  <c r="D129" i="3"/>
  <c r="C129" i="3"/>
  <c r="B129" i="3"/>
  <c r="L128" i="3"/>
  <c r="I128" i="3"/>
  <c r="H128" i="3"/>
  <c r="G128" i="3"/>
  <c r="F128" i="3"/>
  <c r="E128" i="3"/>
  <c r="D128" i="3"/>
  <c r="C128" i="3"/>
  <c r="B128" i="3"/>
  <c r="L127" i="3"/>
  <c r="I127" i="3"/>
  <c r="H127" i="3"/>
  <c r="G127" i="3"/>
  <c r="F127" i="3"/>
  <c r="E127" i="3"/>
  <c r="D127" i="3"/>
  <c r="C127" i="3"/>
  <c r="B127" i="3"/>
  <c r="L126" i="3"/>
  <c r="I126" i="3"/>
  <c r="H126" i="3"/>
  <c r="G126" i="3"/>
  <c r="F126" i="3"/>
  <c r="E126" i="3"/>
  <c r="D126" i="3"/>
  <c r="C126" i="3"/>
  <c r="B126" i="3"/>
  <c r="AJ92" i="3" a="1"/>
  <c r="AJ92" i="3"/>
  <c r="AI92" i="3" a="1"/>
  <c r="AI92" i="3"/>
  <c r="AH92" i="3" a="1"/>
  <c r="AH92" i="3"/>
  <c r="AG92" i="3" a="1"/>
  <c r="AG92" i="3"/>
  <c r="AF92" i="3" a="1"/>
  <c r="AF92" i="3"/>
  <c r="AE92" i="3" a="1"/>
  <c r="AE92" i="3"/>
  <c r="AD92" i="3" a="1"/>
  <c r="AD92" i="3"/>
  <c r="AC92" i="3" a="1"/>
  <c r="AC92" i="3"/>
  <c r="AB92" i="3" a="1"/>
  <c r="AB92" i="3"/>
  <c r="AA92" i="3" a="1"/>
  <c r="AA92" i="3"/>
  <c r="Z92" i="3" a="1"/>
  <c r="Z92" i="3"/>
  <c r="S92" i="3" a="1"/>
  <c r="S92" i="3"/>
  <c r="R92" i="3" a="1"/>
  <c r="R92" i="3"/>
  <c r="Q92" i="3" a="1"/>
  <c r="Q92" i="3"/>
  <c r="P92" i="3" a="1"/>
  <c r="P92" i="3"/>
  <c r="N92" i="3" a="1"/>
  <c r="N92" i="3"/>
  <c r="AJ91" i="3" a="1"/>
  <c r="AJ91" i="3"/>
  <c r="AI91" i="3" a="1"/>
  <c r="AI91" i="3"/>
  <c r="AH91" i="3" a="1"/>
  <c r="AH91" i="3"/>
  <c r="AG91" i="3" a="1"/>
  <c r="AG91" i="3"/>
  <c r="AF91" i="3" a="1"/>
  <c r="AF91" i="3"/>
  <c r="AE91" i="3" a="1"/>
  <c r="AE91" i="3"/>
  <c r="AD91" i="3" a="1"/>
  <c r="AD91" i="3"/>
  <c r="AC91" i="3" a="1"/>
  <c r="AC91" i="3"/>
  <c r="AB91" i="3" a="1"/>
  <c r="AB91" i="3"/>
  <c r="AA91" i="3" a="1"/>
  <c r="AA91" i="3"/>
  <c r="S91" i="3" a="1"/>
  <c r="S91" i="3"/>
  <c r="R91" i="3" a="1"/>
  <c r="R91" i="3"/>
  <c r="Q91" i="3" a="1"/>
  <c r="Q91" i="3"/>
  <c r="P91" i="3" a="1"/>
  <c r="P91" i="3"/>
  <c r="N91" i="3" a="1"/>
  <c r="N91" i="3"/>
  <c r="K91" i="3" a="1"/>
  <c r="K91" i="3"/>
  <c r="H91" i="3" a="1"/>
  <c r="H91" i="3"/>
  <c r="AJ90" i="3" a="1"/>
  <c r="AJ90" i="3"/>
  <c r="AI90" i="3" a="1"/>
  <c r="AI90" i="3"/>
  <c r="AH90" i="3" a="1"/>
  <c r="AH90" i="3"/>
  <c r="AG90" i="3" a="1"/>
  <c r="AG90" i="3"/>
  <c r="AF90" i="3" a="1"/>
  <c r="AF90" i="3"/>
  <c r="AE90" i="3" a="1"/>
  <c r="AE90" i="3"/>
  <c r="AD90" i="3" a="1"/>
  <c r="AD90" i="3"/>
  <c r="AC90" i="3" a="1"/>
  <c r="AC90" i="3"/>
  <c r="AB90" i="3" a="1"/>
  <c r="AB90" i="3"/>
  <c r="AA90" i="3" a="1"/>
  <c r="AA90" i="3"/>
  <c r="S90" i="3" a="1"/>
  <c r="S90" i="3"/>
  <c r="R90" i="3" a="1"/>
  <c r="R90" i="3"/>
  <c r="Q90" i="3" a="1"/>
  <c r="Q90" i="3"/>
  <c r="P90" i="3" a="1"/>
  <c r="P90" i="3"/>
  <c r="N90" i="3" a="1"/>
  <c r="N90" i="3"/>
  <c r="AJ89" i="3" a="1"/>
  <c r="AJ89" i="3"/>
  <c r="AI89" i="3" a="1"/>
  <c r="AI89" i="3"/>
  <c r="AH89" i="3" a="1"/>
  <c r="AH89" i="3"/>
  <c r="AG89" i="3" a="1"/>
  <c r="AG89" i="3"/>
  <c r="AF89" i="3" a="1"/>
  <c r="AF89" i="3"/>
  <c r="AE89" i="3" a="1"/>
  <c r="AE89" i="3"/>
  <c r="AD89" i="3" a="1"/>
  <c r="AD89" i="3"/>
  <c r="AC89" i="3" a="1"/>
  <c r="AC89" i="3"/>
  <c r="AB89" i="3" a="1"/>
  <c r="AB89" i="3"/>
  <c r="AA89" i="3" a="1"/>
  <c r="AA89" i="3"/>
  <c r="Z89" i="3" a="1"/>
  <c r="Z89" i="3"/>
  <c r="S89" i="3" a="1"/>
  <c r="S89" i="3"/>
  <c r="R89" i="3" a="1"/>
  <c r="R89" i="3"/>
  <c r="Q89" i="3" a="1"/>
  <c r="Q89" i="3"/>
  <c r="P89" i="3" a="1"/>
  <c r="P89" i="3"/>
  <c r="N89" i="3" a="1"/>
  <c r="N89" i="3"/>
  <c r="AJ57" i="3" a="1"/>
  <c r="AJ57" i="3"/>
  <c r="AI57" i="3" a="1"/>
  <c r="AI57" i="3"/>
  <c r="AH57" i="3" a="1"/>
  <c r="AH57" i="3"/>
  <c r="AG57" i="3" a="1"/>
  <c r="AG57" i="3"/>
  <c r="AF57" i="3" a="1"/>
  <c r="AF57" i="3"/>
  <c r="AE57" i="3" a="1"/>
  <c r="AE57" i="3"/>
  <c r="AD57" i="3" a="1"/>
  <c r="AD57" i="3"/>
  <c r="AC57" i="3" a="1"/>
  <c r="AC57" i="3"/>
  <c r="AB57" i="3" a="1"/>
  <c r="AB57" i="3"/>
  <c r="AA57" i="3" a="1"/>
  <c r="AA57" i="3"/>
  <c r="S57" i="3" a="1"/>
  <c r="S57" i="3"/>
  <c r="R57" i="3" a="1"/>
  <c r="R57" i="3"/>
  <c r="Q57" i="3" a="1"/>
  <c r="Q57" i="3"/>
  <c r="P57" i="3" a="1"/>
  <c r="P57" i="3"/>
  <c r="N57" i="3" a="1"/>
  <c r="N57" i="3"/>
  <c r="AJ56" i="3" a="1"/>
  <c r="AJ56" i="3"/>
  <c r="AI56" i="3" a="1"/>
  <c r="AI56" i="3"/>
  <c r="AH56" i="3" a="1"/>
  <c r="AH56" i="3"/>
  <c r="AG56" i="3" a="1"/>
  <c r="AG56" i="3"/>
  <c r="AF56" i="3" a="1"/>
  <c r="AF56" i="3"/>
  <c r="AE56" i="3" a="1"/>
  <c r="AE56" i="3"/>
  <c r="AD56" i="3" a="1"/>
  <c r="AD56" i="3"/>
  <c r="AC56" i="3" a="1"/>
  <c r="AC56" i="3"/>
  <c r="AB56" i="3" a="1"/>
  <c r="AB56" i="3"/>
  <c r="AA56" i="3" a="1"/>
  <c r="AA56" i="3"/>
  <c r="S56" i="3" a="1"/>
  <c r="S56" i="3"/>
  <c r="R56" i="3" a="1"/>
  <c r="R56" i="3"/>
  <c r="Q56" i="3" a="1"/>
  <c r="Q56" i="3"/>
  <c r="P56" i="3" a="1"/>
  <c r="P56" i="3"/>
  <c r="N56" i="3" a="1"/>
  <c r="N56" i="3"/>
  <c r="AJ55" i="3" a="1"/>
  <c r="AJ55" i="3"/>
  <c r="AI55" i="3" a="1"/>
  <c r="AI55" i="3"/>
  <c r="AH55" i="3" a="1"/>
  <c r="AH55" i="3"/>
  <c r="AG55" i="3" a="1"/>
  <c r="AG55" i="3"/>
  <c r="AF55" i="3" a="1"/>
  <c r="AF55" i="3"/>
  <c r="AE55" i="3" a="1"/>
  <c r="AE55" i="3"/>
  <c r="AD55" i="3" a="1"/>
  <c r="AD55" i="3"/>
  <c r="AC55" i="3" a="1"/>
  <c r="AC55" i="3"/>
  <c r="AB55" i="3" a="1"/>
  <c r="AB55" i="3"/>
  <c r="AA55" i="3" a="1"/>
  <c r="AA55" i="3"/>
  <c r="S55" i="3" a="1"/>
  <c r="S55" i="3"/>
  <c r="R55" i="3" a="1"/>
  <c r="R55" i="3"/>
  <c r="Q55" i="3" a="1"/>
  <c r="Q55" i="3"/>
  <c r="P55" i="3" a="1"/>
  <c r="P55" i="3"/>
  <c r="AJ54" i="3" a="1"/>
  <c r="AJ54" i="3"/>
  <c r="AI54" i="3" a="1"/>
  <c r="AI54" i="3"/>
  <c r="AH54" i="3" a="1"/>
  <c r="AH54" i="3"/>
  <c r="AG54" i="3" a="1"/>
  <c r="AG54" i="3"/>
  <c r="AF54" i="3" a="1"/>
  <c r="AF54" i="3"/>
  <c r="AE54" i="3" a="1"/>
  <c r="AE54" i="3"/>
  <c r="AD54" i="3" a="1"/>
  <c r="AD54" i="3"/>
  <c r="AC54" i="3" a="1"/>
  <c r="AC54" i="3"/>
  <c r="AB54" i="3" a="1"/>
  <c r="AB54" i="3"/>
  <c r="AA54" i="3" a="1"/>
  <c r="AA54" i="3"/>
  <c r="S54" i="3" a="1"/>
  <c r="S54" i="3"/>
  <c r="R54" i="3" a="1"/>
  <c r="R54" i="3"/>
  <c r="Q54" i="3" a="1"/>
  <c r="Q54" i="3"/>
  <c r="P54" i="3" a="1"/>
  <c r="P54" i="3"/>
  <c r="N54" i="3" a="1"/>
  <c r="N54" i="3"/>
  <c r="AJ22" i="3" a="1"/>
  <c r="AJ22" i="3"/>
  <c r="AI22" i="3" a="1"/>
  <c r="AI22" i="3"/>
  <c r="AH22" i="3" a="1"/>
  <c r="AH22" i="3"/>
  <c r="AG22" i="3" a="1"/>
  <c r="AG22" i="3"/>
  <c r="AF22" i="3" a="1"/>
  <c r="AF22" i="3"/>
  <c r="AE22" i="3" a="1"/>
  <c r="AE22" i="3"/>
  <c r="AD22" i="3" a="1"/>
  <c r="AD22" i="3"/>
  <c r="AC22" i="3" a="1"/>
  <c r="AC22" i="3"/>
  <c r="AB22" i="3" a="1"/>
  <c r="AB22" i="3"/>
  <c r="AA22" i="3" a="1"/>
  <c r="AA22" i="3"/>
  <c r="AJ21" i="3" a="1"/>
  <c r="AJ21" i="3"/>
  <c r="AI21" i="3" a="1"/>
  <c r="AI21" i="3"/>
  <c r="AH21" i="3" a="1"/>
  <c r="AH21" i="3"/>
  <c r="AG21" i="3" a="1"/>
  <c r="AG21" i="3"/>
  <c r="AF21" i="3" a="1"/>
  <c r="AF21" i="3"/>
  <c r="AE21" i="3" a="1"/>
  <c r="AE21" i="3"/>
  <c r="AD21" i="3" a="1"/>
  <c r="AD21" i="3"/>
  <c r="AC21" i="3" a="1"/>
  <c r="AC21" i="3"/>
  <c r="AB21" i="3" a="1"/>
  <c r="AB21" i="3"/>
  <c r="AA21" i="3" a="1"/>
  <c r="AA21" i="3"/>
  <c r="AJ20" i="3" a="1"/>
  <c r="AJ20" i="3"/>
  <c r="AI20" i="3" a="1"/>
  <c r="AI20" i="3"/>
  <c r="AH20" i="3" a="1"/>
  <c r="AH20" i="3"/>
  <c r="AG20" i="3" a="1"/>
  <c r="AG20" i="3"/>
  <c r="AF20" i="3" a="1"/>
  <c r="AF20" i="3"/>
  <c r="AE20" i="3" a="1"/>
  <c r="AE20" i="3"/>
  <c r="AD20" i="3" a="1"/>
  <c r="AD20" i="3"/>
  <c r="AC20" i="3" a="1"/>
  <c r="AC20" i="3"/>
  <c r="AB20" i="3" a="1"/>
  <c r="AB20" i="3"/>
  <c r="AA20" i="3" a="1"/>
  <c r="AA20" i="3"/>
  <c r="S20" i="3" a="1"/>
  <c r="S20" i="3"/>
  <c r="R20" i="3" a="1"/>
  <c r="R20" i="3"/>
  <c r="Q20" i="3" a="1"/>
  <c r="Q20" i="3"/>
  <c r="AJ19" i="3" a="1"/>
  <c r="AJ19" i="3"/>
  <c r="AI19" i="3" a="1"/>
  <c r="AI19" i="3"/>
  <c r="AH19" i="3" a="1"/>
  <c r="AH19" i="3"/>
  <c r="AG19" i="3" a="1"/>
  <c r="AG19" i="3"/>
  <c r="AF19" i="3" a="1"/>
  <c r="AF19" i="3"/>
  <c r="AE19" i="3" a="1"/>
  <c r="AE19" i="3"/>
  <c r="AD19" i="3" a="1"/>
  <c r="AD19" i="3"/>
  <c r="AC19" i="3" a="1"/>
  <c r="AC19" i="3"/>
  <c r="AB19" i="3" a="1"/>
  <c r="AB19" i="3"/>
  <c r="AA19" i="3" a="1"/>
  <c r="AA19" i="3"/>
  <c r="S19" i="3" a="1"/>
  <c r="S19" i="3"/>
  <c r="R19" i="3" a="1"/>
  <c r="R19" i="3"/>
  <c r="Q19" i="3" a="1"/>
  <c r="Q19" i="3"/>
  <c r="P19" i="3" a="1"/>
  <c r="P19" i="3"/>
  <c r="N19" i="3" a="1"/>
  <c r="N19" i="3"/>
  <c r="AJ18" i="3" a="1"/>
  <c r="AJ18" i="3"/>
  <c r="AI18" i="3" a="1"/>
  <c r="AI18" i="3"/>
  <c r="AH18" i="3" a="1"/>
  <c r="AH18" i="3"/>
  <c r="AG18" i="3" a="1"/>
  <c r="AG18" i="3"/>
  <c r="AF18" i="3" a="1"/>
  <c r="AF18" i="3"/>
  <c r="AE18" i="3" a="1"/>
  <c r="AE18" i="3"/>
  <c r="AD18" i="3" a="1"/>
  <c r="AD18" i="3"/>
  <c r="AC18" i="3" a="1"/>
  <c r="AC18" i="3"/>
  <c r="AB18" i="3" a="1"/>
  <c r="AB18" i="3"/>
  <c r="AA18" i="3" a="1"/>
  <c r="AA18" i="3"/>
  <c r="S18" i="3" a="1"/>
  <c r="S18" i="3"/>
  <c r="R18" i="3" a="1"/>
  <c r="R18" i="3"/>
  <c r="Q18" i="3" a="1"/>
  <c r="Q18" i="3"/>
  <c r="P18" i="3" a="1"/>
  <c r="P18" i="3"/>
  <c r="N18" i="3" a="1"/>
  <c r="N18" i="3"/>
  <c r="AJ17" i="3" a="1"/>
  <c r="AJ17" i="3"/>
  <c r="AI17" i="3" a="1"/>
  <c r="AI17" i="3"/>
  <c r="AH17" i="3" a="1"/>
  <c r="AH17" i="3"/>
  <c r="AG17" i="3" a="1"/>
  <c r="AG17" i="3"/>
  <c r="AF17" i="3" a="1"/>
  <c r="AF17" i="3"/>
  <c r="AE17" i="3" a="1"/>
  <c r="AE17" i="3"/>
  <c r="AD17" i="3" a="1"/>
  <c r="AD17" i="3"/>
  <c r="AC17" i="3" a="1"/>
  <c r="AC17" i="3"/>
  <c r="AB17" i="3" a="1"/>
  <c r="AB17" i="3"/>
  <c r="AA17" i="3" a="1"/>
  <c r="AA17" i="3"/>
  <c r="S17" i="3" a="1"/>
  <c r="S17" i="3"/>
  <c r="R17" i="3" a="1"/>
  <c r="R17" i="3"/>
  <c r="Q17" i="3" a="1"/>
  <c r="Q17" i="3"/>
  <c r="P17" i="3" a="1"/>
  <c r="P17" i="3"/>
  <c r="N17" i="3" a="1"/>
  <c r="N17" i="3"/>
  <c r="AJ16" i="3" a="1"/>
  <c r="AJ16" i="3"/>
  <c r="AI16" i="3" a="1"/>
  <c r="AI16" i="3"/>
  <c r="AH16" i="3" a="1"/>
  <c r="AH16" i="3"/>
  <c r="AG16" i="3" a="1"/>
  <c r="AG16" i="3"/>
  <c r="AF16" i="3" a="1"/>
  <c r="AF16" i="3"/>
  <c r="AE16" i="3" a="1"/>
  <c r="AE16" i="3"/>
  <c r="AD16" i="3" a="1"/>
  <c r="AD16" i="3"/>
  <c r="AC16" i="3" a="1"/>
  <c r="AC16" i="3"/>
  <c r="AB16" i="3" a="1"/>
  <c r="AB16" i="3"/>
  <c r="AA16" i="3" a="1"/>
  <c r="AA16" i="3"/>
  <c r="Z16" i="3" a="1"/>
  <c r="Z16" i="3"/>
  <c r="S16" i="3" a="1"/>
  <c r="S16" i="3"/>
  <c r="R16" i="3" a="1"/>
  <c r="R16" i="3"/>
  <c r="Q16" i="3" a="1"/>
  <c r="Q16" i="3"/>
  <c r="P16" i="3" a="1"/>
  <c r="P16" i="3"/>
  <c r="N16" i="3" a="1"/>
  <c r="N16" i="3"/>
  <c r="AJ15" i="3" a="1"/>
  <c r="AJ15" i="3"/>
  <c r="AI15" i="3" a="1"/>
  <c r="AI15" i="3"/>
  <c r="AH15" i="3" a="1"/>
  <c r="AH15" i="3"/>
  <c r="AG15" i="3" a="1"/>
  <c r="AG15" i="3"/>
  <c r="AF15" i="3" a="1"/>
  <c r="AF15" i="3"/>
  <c r="AE15" i="3" a="1"/>
  <c r="AE15" i="3"/>
  <c r="AD15" i="3" a="1"/>
  <c r="AD15" i="3"/>
  <c r="AC15" i="3" a="1"/>
  <c r="AC15" i="3"/>
  <c r="AB15" i="3" a="1"/>
  <c r="AB15" i="3"/>
  <c r="AA15" i="3" a="1"/>
  <c r="AA15" i="3"/>
  <c r="S15" i="3" a="1"/>
  <c r="S15" i="3"/>
  <c r="R15" i="3" a="1"/>
  <c r="R15" i="3"/>
  <c r="Q15" i="3" a="1"/>
  <c r="Q15" i="3"/>
  <c r="P15" i="3" a="1"/>
  <c r="P15" i="3"/>
  <c r="N15" i="3" a="1"/>
  <c r="N15" i="3"/>
  <c r="AJ14" i="3" a="1"/>
  <c r="AJ14" i="3"/>
  <c r="AI14" i="3" a="1"/>
  <c r="AI14" i="3"/>
  <c r="AH14" i="3" a="1"/>
  <c r="AH14" i="3"/>
  <c r="AG14" i="3" a="1"/>
  <c r="AG14" i="3"/>
  <c r="AF14" i="3" a="1"/>
  <c r="AF14" i="3"/>
  <c r="AE14" i="3" a="1"/>
  <c r="AE14" i="3"/>
  <c r="AD14" i="3" a="1"/>
  <c r="AD14" i="3"/>
  <c r="AC14" i="3" a="1"/>
  <c r="AC14" i="3"/>
  <c r="AB14" i="3" a="1"/>
  <c r="AB14" i="3"/>
  <c r="AA14" i="3" a="1"/>
  <c r="AA14" i="3"/>
  <c r="S14" i="3" a="1"/>
  <c r="S14" i="3"/>
  <c r="R14" i="3" a="1"/>
  <c r="R14" i="3"/>
  <c r="Q14" i="3" a="1"/>
  <c r="Q14" i="3"/>
  <c r="P14" i="3" a="1"/>
  <c r="P14" i="3"/>
  <c r="N14" i="3" a="1"/>
  <c r="N14" i="3"/>
  <c r="AJ13" i="3" a="1"/>
  <c r="AJ13" i="3"/>
  <c r="AI13" i="3" a="1"/>
  <c r="AI13" i="3"/>
  <c r="AH13" i="3" a="1"/>
  <c r="AH13" i="3"/>
  <c r="AG13" i="3" a="1"/>
  <c r="AG13" i="3"/>
  <c r="AF13" i="3" a="1"/>
  <c r="AF13" i="3"/>
  <c r="AE13" i="3" a="1"/>
  <c r="AE13" i="3"/>
  <c r="AD13" i="3" a="1"/>
  <c r="AD13" i="3"/>
  <c r="AC13" i="3" a="1"/>
  <c r="AC13" i="3"/>
  <c r="AB13" i="3" a="1"/>
  <c r="AB13" i="3"/>
  <c r="AA13" i="3" a="1"/>
  <c r="AA13" i="3"/>
  <c r="S13" i="3" a="1"/>
  <c r="S13" i="3"/>
  <c r="R13" i="3" a="1"/>
  <c r="R13" i="3"/>
  <c r="Q13" i="3" a="1"/>
  <c r="Q13" i="3"/>
  <c r="P13" i="3" a="1"/>
  <c r="P13" i="3"/>
  <c r="N13" i="3" a="1"/>
  <c r="N13" i="3"/>
  <c r="K13" i="3" a="1"/>
  <c r="K13" i="3"/>
  <c r="H13" i="3" a="1"/>
  <c r="H13" i="3"/>
  <c r="AJ12" i="3" a="1"/>
  <c r="AJ12" i="3"/>
  <c r="AI12" i="3" a="1"/>
  <c r="AI12" i="3"/>
  <c r="AH12" i="3" a="1"/>
  <c r="AH12" i="3"/>
  <c r="AG12" i="3" a="1"/>
  <c r="AG12" i="3"/>
  <c r="AF12" i="3" a="1"/>
  <c r="AF12" i="3"/>
  <c r="AE12" i="3" a="1"/>
  <c r="AE12" i="3"/>
  <c r="AD12" i="3" a="1"/>
  <c r="AD12" i="3"/>
  <c r="AC12" i="3" a="1"/>
  <c r="AC12" i="3"/>
  <c r="AB12" i="3" a="1"/>
  <c r="AB12" i="3"/>
  <c r="AA12" i="3" a="1"/>
  <c r="AA12" i="3"/>
  <c r="S12" i="3" a="1"/>
  <c r="S12" i="3"/>
  <c r="R12" i="3" a="1"/>
  <c r="R12" i="3"/>
  <c r="Q12" i="3" a="1"/>
  <c r="Q12" i="3"/>
  <c r="P12" i="3" a="1"/>
  <c r="P12" i="3"/>
  <c r="N12" i="3" a="1"/>
  <c r="N12" i="3"/>
  <c r="K12" i="3" a="1"/>
  <c r="K12" i="3"/>
  <c r="H12" i="3" a="1"/>
  <c r="H12" i="3"/>
  <c r="AJ11" i="3" a="1"/>
  <c r="AJ11" i="3"/>
  <c r="AI11" i="3" a="1"/>
  <c r="AI11" i="3"/>
  <c r="AH11" i="3" a="1"/>
  <c r="AH11" i="3"/>
  <c r="AG11" i="3" a="1"/>
  <c r="AG11" i="3"/>
  <c r="AF11" i="3" a="1"/>
  <c r="AF11" i="3"/>
  <c r="AE11" i="3" a="1"/>
  <c r="AE11" i="3"/>
  <c r="AD11" i="3" a="1"/>
  <c r="AD11" i="3"/>
  <c r="AC11" i="3" a="1"/>
  <c r="AC11" i="3"/>
  <c r="AB11" i="3" a="1"/>
  <c r="AB11" i="3"/>
  <c r="AA11" i="3" a="1"/>
  <c r="AA11" i="3"/>
  <c r="S11" i="3" a="1"/>
  <c r="S11" i="3"/>
  <c r="R11" i="3" a="1"/>
  <c r="R11" i="3"/>
  <c r="Q11" i="3" a="1"/>
  <c r="Q11" i="3"/>
  <c r="P11" i="3" a="1"/>
  <c r="P11" i="3"/>
  <c r="N11" i="3" a="1"/>
  <c r="N11" i="3"/>
  <c r="K11" i="3" a="1"/>
  <c r="K11" i="3"/>
  <c r="H11" i="3" a="1"/>
  <c r="H11" i="3"/>
  <c r="AJ10" i="3" a="1"/>
  <c r="AJ10" i="3"/>
  <c r="AI10" i="3" a="1"/>
  <c r="AI10" i="3"/>
  <c r="AH10" i="3" a="1"/>
  <c r="AH10" i="3"/>
  <c r="AG10" i="3" a="1"/>
  <c r="AG10" i="3"/>
  <c r="AF10" i="3" a="1"/>
  <c r="AF10" i="3"/>
  <c r="AE10" i="3" a="1"/>
  <c r="AE10" i="3"/>
  <c r="AD10" i="3" a="1"/>
  <c r="AD10" i="3"/>
  <c r="AC10" i="3" a="1"/>
  <c r="AC10" i="3"/>
  <c r="AB10" i="3" a="1"/>
  <c r="AB10" i="3"/>
  <c r="AA10" i="3" a="1"/>
  <c r="AA10" i="3"/>
  <c r="S10" i="3" a="1"/>
  <c r="S10" i="3"/>
  <c r="R10" i="3" a="1"/>
  <c r="R10" i="3"/>
  <c r="Q10" i="3" a="1"/>
  <c r="Q10" i="3"/>
  <c r="P10" i="3" a="1"/>
  <c r="P10" i="3"/>
  <c r="N10" i="3" a="1"/>
  <c r="N10" i="3"/>
  <c r="K10" i="3" a="1"/>
  <c r="K10" i="3"/>
  <c r="H10" i="3" a="1"/>
  <c r="H10" i="3"/>
  <c r="AJ9" i="3" a="1"/>
  <c r="AJ9" i="3"/>
  <c r="AI9" i="3" a="1"/>
  <c r="AI9" i="3"/>
  <c r="AH9" i="3" a="1"/>
  <c r="AH9" i="3"/>
  <c r="AG9" i="3" a="1"/>
  <c r="AG9" i="3"/>
  <c r="AF9" i="3" a="1"/>
  <c r="AF9" i="3"/>
  <c r="AE9" i="3" a="1"/>
  <c r="AE9" i="3"/>
  <c r="AD9" i="3" a="1"/>
  <c r="AD9" i="3"/>
  <c r="AC9" i="3" a="1"/>
  <c r="AC9" i="3"/>
  <c r="AB9" i="3" a="1"/>
  <c r="AB9" i="3"/>
  <c r="AA9" i="3" a="1"/>
  <c r="AA9" i="3"/>
  <c r="S9" i="3" a="1"/>
  <c r="S9" i="3"/>
  <c r="R9" i="3" a="1"/>
  <c r="R9" i="3"/>
  <c r="Q9" i="3" a="1"/>
  <c r="Q9" i="3"/>
  <c r="P9" i="3" a="1"/>
  <c r="P9" i="3"/>
  <c r="N9" i="3" a="1"/>
  <c r="N9" i="3"/>
  <c r="K9" i="3" a="1"/>
  <c r="K9" i="3"/>
  <c r="H9" i="3" a="1"/>
  <c r="H9" i="3"/>
  <c r="AJ8" i="3" a="1"/>
  <c r="AJ8" i="3"/>
  <c r="AI8" i="3" a="1"/>
  <c r="AI8" i="3"/>
  <c r="AH8" i="3" a="1"/>
  <c r="AH8" i="3"/>
  <c r="AG8" i="3" a="1"/>
  <c r="AG8" i="3"/>
  <c r="AF8" i="3" a="1"/>
  <c r="AF8" i="3"/>
  <c r="AE8" i="3" a="1"/>
  <c r="AE8" i="3"/>
  <c r="AD8" i="3" a="1"/>
  <c r="AD8" i="3"/>
  <c r="AC8" i="3" a="1"/>
  <c r="AC8" i="3"/>
  <c r="AB8" i="3" a="1"/>
  <c r="AB8" i="3"/>
  <c r="AA8" i="3" a="1"/>
  <c r="AA8" i="3"/>
  <c r="S8" i="3" a="1"/>
  <c r="S8" i="3"/>
  <c r="R8" i="3" a="1"/>
  <c r="R8" i="3"/>
  <c r="Q8" i="3" a="1"/>
  <c r="Q8" i="3"/>
  <c r="P8" i="3" a="1"/>
  <c r="P8" i="3"/>
  <c r="N8" i="3" a="1"/>
  <c r="N8" i="3"/>
  <c r="K8" i="3" a="1"/>
  <c r="K8" i="3"/>
  <c r="H8" i="3" a="1"/>
  <c r="H8" i="3"/>
  <c r="AJ7" i="3" a="1"/>
  <c r="AJ7" i="3"/>
  <c r="AI7" i="3" a="1"/>
  <c r="AI7" i="3"/>
  <c r="AH7" i="3" a="1"/>
  <c r="AH7" i="3"/>
  <c r="AG7" i="3" a="1"/>
  <c r="AG7" i="3"/>
  <c r="AF7" i="3" a="1"/>
  <c r="AF7" i="3"/>
  <c r="AE7" i="3" a="1"/>
  <c r="AE7" i="3"/>
  <c r="AD7" i="3" a="1"/>
  <c r="AD7" i="3"/>
  <c r="AC7" i="3" a="1"/>
  <c r="AC7" i="3"/>
  <c r="AB7" i="3" a="1"/>
  <c r="AB7" i="3"/>
  <c r="AA7" i="3" a="1"/>
  <c r="AA7" i="3"/>
  <c r="S7" i="3" a="1"/>
  <c r="S7" i="3"/>
  <c r="R7" i="3" a="1"/>
  <c r="R7" i="3"/>
  <c r="Q7" i="3" a="1"/>
  <c r="Q7" i="3"/>
  <c r="P7" i="3" a="1"/>
  <c r="P7" i="3"/>
  <c r="N7" i="3" a="1"/>
  <c r="N7" i="3"/>
  <c r="K7" i="3" a="1"/>
  <c r="K7" i="3"/>
  <c r="H7" i="3" a="1"/>
  <c r="H7" i="3"/>
  <c r="AJ6" i="3" a="1"/>
  <c r="AJ6" i="3"/>
  <c r="AI6" i="3" a="1"/>
  <c r="AI6" i="3"/>
  <c r="AH6" i="3" a="1"/>
  <c r="AH6" i="3"/>
  <c r="AG6" i="3" a="1"/>
  <c r="AG6" i="3"/>
  <c r="AF6" i="3" a="1"/>
  <c r="AF6" i="3"/>
  <c r="AE6" i="3" a="1"/>
  <c r="AE6" i="3"/>
  <c r="AD6" i="3" a="1"/>
  <c r="AD6" i="3"/>
  <c r="AC6" i="3" a="1"/>
  <c r="AC6" i="3"/>
  <c r="AB6" i="3" a="1"/>
  <c r="AB6" i="3"/>
  <c r="AA6" i="3" a="1"/>
  <c r="AA6" i="3"/>
  <c r="Z6" i="3" a="1"/>
  <c r="Z6" i="3"/>
  <c r="S6" i="3" a="1"/>
  <c r="S6" i="3"/>
  <c r="R6" i="3" a="1"/>
  <c r="R6" i="3"/>
  <c r="Q6" i="3" a="1"/>
  <c r="Q6" i="3"/>
  <c r="P6" i="3" a="1"/>
  <c r="P6" i="3"/>
  <c r="N6" i="3" a="1"/>
  <c r="N6" i="3"/>
  <c r="AJ5" i="3" a="1"/>
  <c r="AJ5" i="3"/>
  <c r="AI5" i="3" a="1"/>
  <c r="AI5" i="3"/>
  <c r="AH5" i="3" a="1"/>
  <c r="AH5" i="3"/>
  <c r="AG5" i="3" a="1"/>
  <c r="AG5" i="3"/>
  <c r="AF5" i="3" a="1"/>
  <c r="AF5" i="3"/>
  <c r="AE5" i="3" a="1"/>
  <c r="AE5" i="3"/>
  <c r="AD5" i="3" a="1"/>
  <c r="AD5" i="3"/>
  <c r="AC5" i="3" a="1"/>
  <c r="AC5" i="3"/>
  <c r="AB5" i="3" a="1"/>
  <c r="AB5" i="3"/>
  <c r="AA5" i="3" a="1"/>
  <c r="AA5" i="3"/>
  <c r="S5" i="3" a="1"/>
  <c r="S5" i="3"/>
  <c r="R5" i="3" a="1"/>
  <c r="R5" i="3"/>
  <c r="Q5" i="3" a="1"/>
  <c r="Q5" i="3"/>
  <c r="P5" i="3" a="1"/>
  <c r="P5" i="3"/>
  <c r="N5" i="3" a="1"/>
  <c r="N5" i="3"/>
  <c r="K5" i="3" a="1"/>
  <c r="K5" i="3"/>
  <c r="H5" i="3" a="1"/>
  <c r="H5" i="3"/>
  <c r="AJ4" i="3" a="1"/>
  <c r="AJ4" i="3"/>
  <c r="AI4" i="3" a="1"/>
  <c r="AI4" i="3"/>
  <c r="AH4" i="3" a="1"/>
  <c r="AH4" i="3"/>
  <c r="AG4" i="3" a="1"/>
  <c r="AG4" i="3"/>
  <c r="AF4" i="3" a="1"/>
  <c r="AF4" i="3"/>
  <c r="AE4" i="3" a="1"/>
  <c r="AE4" i="3"/>
  <c r="AD4" i="3" a="1"/>
  <c r="AD4" i="3"/>
  <c r="AC4" i="3" a="1"/>
  <c r="AC4" i="3"/>
  <c r="AB4" i="3" a="1"/>
  <c r="AB4" i="3"/>
  <c r="AA4" i="3" a="1"/>
  <c r="AA4" i="3"/>
  <c r="S4" i="3" a="1"/>
  <c r="S4" i="3"/>
  <c r="R4" i="3" a="1"/>
  <c r="R4" i="3"/>
  <c r="Q4" i="3" a="1"/>
  <c r="Q4" i="3"/>
  <c r="P4" i="3" a="1"/>
  <c r="P4" i="3"/>
  <c r="AJ3" i="3" a="1"/>
  <c r="AJ3" i="3"/>
  <c r="AI3" i="3" a="1"/>
  <c r="AI3" i="3"/>
  <c r="AH3" i="3" a="1"/>
  <c r="AH3" i="3"/>
  <c r="AG3" i="3" a="1"/>
  <c r="AG3" i="3"/>
  <c r="AF3" i="3" a="1"/>
  <c r="AF3" i="3"/>
  <c r="AE3" i="3" a="1"/>
  <c r="AE3" i="3"/>
  <c r="AD3" i="3" a="1"/>
  <c r="AD3" i="3"/>
  <c r="AC3" i="3" a="1"/>
  <c r="AC3" i="3"/>
  <c r="AB3" i="3" a="1"/>
  <c r="AB3" i="3"/>
  <c r="AA3" i="3" a="1"/>
  <c r="AA3" i="3"/>
  <c r="S3" i="3" a="1"/>
  <c r="S3" i="3"/>
  <c r="R3" i="3" a="1"/>
  <c r="R3" i="3"/>
  <c r="Q3" i="3" a="1"/>
  <c r="Q3" i="3"/>
  <c r="P3" i="3" a="1"/>
  <c r="P3" i="3"/>
  <c r="AJ2" i="3" a="1"/>
  <c r="AJ2" i="3"/>
  <c r="AI2" i="3" a="1"/>
  <c r="AI2" i="3"/>
  <c r="AH2" i="3" a="1"/>
  <c r="AH2" i="3"/>
  <c r="AG2" i="3" a="1"/>
  <c r="AG2" i="3"/>
  <c r="AF2" i="3" a="1"/>
  <c r="AF2" i="3"/>
  <c r="AE2" i="3" a="1"/>
  <c r="AE2" i="3"/>
  <c r="AD2" i="3" a="1"/>
  <c r="AD2" i="3"/>
  <c r="AC2" i="3" a="1"/>
  <c r="AC2" i="3"/>
  <c r="AB2" i="3" a="1"/>
  <c r="AB2" i="3"/>
  <c r="AA2" i="3" a="1"/>
  <c r="AA2" i="3"/>
  <c r="S2" i="3" a="1"/>
  <c r="S2" i="3"/>
  <c r="R2" i="3" a="1"/>
  <c r="R2" i="3"/>
  <c r="Q2" i="3" a="1"/>
  <c r="Q2" i="3"/>
  <c r="P2" i="3" a="1"/>
  <c r="P2" i="3"/>
  <c r="N2" i="3" a="1"/>
  <c r="N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<sst xmlns="http://schemas.openxmlformats.org/spreadsheetml/2006/main" count="16971" uniqueCount="1250">
  <si>
    <t>year</t>
  </si>
  <si>
    <t>location of neogitations</t>
  </si>
  <si>
    <t>negotiation type</t>
  </si>
  <si>
    <t>locale Gleditsch ID</t>
  </si>
  <si>
    <t>third-party</t>
  </si>
  <si>
    <t>third-party Gleditsch ID</t>
  </si>
  <si>
    <t>conflict sub-locale</t>
  </si>
  <si>
    <t>peace agreement</t>
  </si>
  <si>
    <t>good offices</t>
  </si>
  <si>
    <t>mediation</t>
  </si>
  <si>
    <t>hosting talks</t>
  </si>
  <si>
    <t>manipulating</t>
  </si>
  <si>
    <t>humanitarian</t>
  </si>
  <si>
    <t>witness/party to agreement</t>
  </si>
  <si>
    <t>other</t>
  </si>
  <si>
    <t>agreement</t>
  </si>
  <si>
    <t>ceasfire agreement</t>
  </si>
  <si>
    <t>agreement name</t>
  </si>
  <si>
    <t>South Sudan</t>
  </si>
  <si>
    <t>SSD</t>
  </si>
  <si>
    <t>"On 13 June 2011, the African Union High Implementation Panel (AUHIP) held a round of negotiations to tackle remaining contentious issues between Sudan and South Sudan."</t>
  </si>
  <si>
    <t>APP</t>
  </si>
  <si>
    <t>Ethiopia</t>
  </si>
  <si>
    <t>negotiation location Gleditsch ID</t>
  </si>
  <si>
    <t>ETH</t>
  </si>
  <si>
    <t>R</t>
  </si>
  <si>
    <t>AU</t>
  </si>
  <si>
    <t>"On 20 June 2011, the AUHIP facilitated an agreement between the parties on temporary arrangements for Abyei."</t>
  </si>
  <si>
    <t>Abyei</t>
  </si>
  <si>
    <t>Agreement Between The Government of the Republic of Sudan and The Sudan People's Liberation Movement on Temporary Arrangements for the Administration and Security of the Abyei Area</t>
  </si>
  <si>
    <t>"On 29 June 2011, following mediation by the AUHIP, the two sides formally signed the Agreement on the Joint Political and Security Mechanism and the Joint Position Paper on Border Security."</t>
  </si>
  <si>
    <t>Agreement on the Joint Political and Security Mechanism and the Joint Position Paper on Border Security</t>
  </si>
  <si>
    <t>"On 29 July 2011, the AUHIP mediated between Sudan and South Sudan on security arrangement regarding the shared border between the parties."</t>
  </si>
  <si>
    <t>Agreement on the Border Monitoring Support Mission</t>
  </si>
  <si>
    <t>"A series of meetings with both conflict parties were held from 30 July to 31 July 2011. Although no progress was made regarding the delineation of the Safe Demilitarized Border Zone, the parties reached the Agreement on the Border Monitoring Support Mission."</t>
  </si>
  <si>
    <t>IGAD</t>
  </si>
  <si>
    <t>"From December 2011 onwards, tensions over oil payments exacerbated. Sudan took control of the oil flowing from South Sudan as payment for transporting the oil from South Sudan to Port Sudan. South Sudan subsequently unilaterally halted its oil production in January 2012. This escalatory succession of events prompted IGAD to hold a peace conference on 26 January 2012. IGAD Chair Meles Zenawai acted as the chief mediator at this conference. No progress was made at this conference."</t>
  </si>
  <si>
    <t>UN</t>
  </si>
  <si>
    <t>"Another round of negotiations, mediated by the AUHIP with support from the UN, led to the signing of the Memorandum of Understanding on Non-Aggression and Cooperation on 10 February 2012. However, fighting between Sudanese and South Sudanese security forces continued along their border."</t>
  </si>
  <si>
    <t>notes_1</t>
  </si>
  <si>
    <t>source_1</t>
  </si>
  <si>
    <t>G</t>
  </si>
  <si>
    <t>Memorandum of Understanding on Non-Aggression and Cooperation</t>
  </si>
  <si>
    <t>"With support from the UN Special Envoy, the AUHIP mediated between the conflict parties in March 2012."</t>
  </si>
  <si>
    <t>Two initial framework agreements</t>
  </si>
  <si>
    <t>Cooperation Agreement</t>
  </si>
  <si>
    <t>"A round of negotiations mediated by the AUHIP led to the signing of two initial framework agreement, one on the issue of nationality and another agreement on border demarcation in Addis Ababa on 10 April 2012. With tensions remaining high, South Sudan surrounded Sudan’s largest oilfield in April 2012."</t>
  </si>
  <si>
    <t>"The AU Peace and Security Council established a roadmap to peace between the parties on 24 April 2012. This plan officially placed the AUHIP in charge of mediation with the aim to resolve multiple issues of contention such as Abyei, the Safe Demilitarized Border Zone, and oil in the span on three months. The UN Security Council adopted this plan in Resolution 2046 adopted on 2 May 2012.  The conflict parties subsequently engaged in negotiations mediated by AUHIP Chairman Thabo Mbeki in Addis Ababa on 29 May 2012."</t>
  </si>
  <si>
    <t>"Another round of negotiations led by the AU was held in Addis Ababa on 22 June 2012."</t>
  </si>
  <si>
    <t xml:space="preserve">"Another meeting led by the AU in Addis Ababa was held on 4 September 2012." </t>
  </si>
  <si>
    <t>"The AUHIP went on to propose its own draft agreement on 21 September 2012. South Sudan accepted this agreement, but Sudan rejected it."</t>
  </si>
  <si>
    <t>"The Presidents of both countries attended a round of negotiations mediated by AUHIP in Addis Ababa from 23 to 27 September 2012. This culminated in the signing of the Cooperation Agreement and eight other agreements. This re-opened food trade between the countries and Sudan released 19 South Sudanese prisoners. On 27 September 2012, Sudan and South Sudan signed the Implementation Modalities for Security Arrangements, which was aimed facilitating the implementation of the Agreement on Security Arrangements."</t>
  </si>
  <si>
    <t>"To implement this agreement, the Joint Political and Security Mechanism convened in Juba from 5 to 7 November 2012."</t>
  </si>
  <si>
    <t>"The mechanism met once again on 19 December 2012, with support from AUHIP and the UN. At this meeting, the countries worked with the Force Commander of the United Nations Interim Security Force for Abyei (UNISFA) to create an implementation matrix."</t>
  </si>
  <si>
    <r>
      <t>"The African Union High Implementation Panel (AUHIP) mediated between South Sudan and Sudan in Addis Ababa from 3 to 5 January 2013.</t>
    </r>
    <r>
      <rPr>
        <sz val="12"/>
        <color rgb="FF000000"/>
        <rFont val="Calibri"/>
        <family val="2"/>
        <scheme val="minor"/>
      </rPr>
      <t xml:space="preserve">  The conflict parties agreed that the implementation of previously concluded agreements needed to be sped up."</t>
    </r>
  </si>
  <si>
    <t>"From 13 to 18 January 2013, the Presidents of both countries attended a summit facilitated by the AUHIP. This effort did not result in any peace agreement, but the parties agreed to the implementation matrix put together in December 2012."</t>
  </si>
  <si>
    <t>"Sudan and South Sudan engaged in negotiations mediated by the AUHIP on 12 March 2013. The conflict parties agreed to resume oil production and create the demilitarized zone."</t>
  </si>
  <si>
    <t>"A major milestone was reached the following month when Sudanese President Omar al-Bashir visited South Sudanese President Kiir Mayardit for the first time in the new country. During this visit, on 12 April 2013, the two sides agreed to create a joint high-level committee."</t>
  </si>
  <si>
    <t>"The conflict parties engaged in negotiations mediated by the AUHIP from 24 to 27 April 2013. Throughout May and July 2013, tensions over accusations between both sides concerning support for rebel groups began to increase. On 22 July 2013, the African Union established an ad hoc mechanism to investigate these claims.  In late July 2013, Sudan halted oil transportation in response to South Sudanese support to the Sudan People’s Liberation Army/Movement – North (SPLM/A-N). The Sudan President had met with AUHIP delegates before announcing this decision."</t>
  </si>
  <si>
    <t>"On 28 November 2013, Sudanese and South Sudanese security delegates met for negotiations mediated by the AUHIP in Khartoum. The AUHIP was unable to make progress on creating the demilitarized security zone during this round of negotiations. Armed fighting between Sudan and South Sudan resumed in mid-December."</t>
  </si>
  <si>
    <t>Sudan</t>
  </si>
  <si>
    <t>SUD</t>
  </si>
  <si>
    <t>Russia</t>
  </si>
  <si>
    <t>RUS</t>
  </si>
  <si>
    <t>"Russia mediated peace talks between Sudan and South Sudan in Moscow on 10 September 2015."</t>
  </si>
  <si>
    <t>S</t>
  </si>
  <si>
    <t>"On 14 October 2015, Sudan and South Sudan convened for peace talks in Addis Abba. At this round of talks, Sudan and South Sudan agreed to establish a buffer zone with join units deployed for monitoring."</t>
  </si>
  <si>
    <t>"As part of the Joint Demarcation Committee, the AU mediated between representatives of Sudan and South Sudan between 10 and 13 September 2018. However, no progress was made."</t>
  </si>
  <si>
    <t>"Throughout 2019, the United Nations Interim Security Force for Abyei (UNSIFA) mediated meetings with officials from Sudan and South Sudan to promote peace in Abyei."</t>
  </si>
  <si>
    <t xml:space="preserve">Although the parties had not reached a consensus over an agenda for the negotiations, a first round of official negotiations was held in Nairobi between 8 and 23 March 1994.  </t>
  </si>
  <si>
    <t xml:space="preserve">Another round of negotiations was held in Nairobi were held between 18 and 20 May 1994. </t>
  </si>
  <si>
    <t xml:space="preserve">Since the conflict parties could not agree on an official agenda for negotiations, the IGAD mediation team drafted a Declaration of Principles (DoP) which the conflict parties were meant to review in preparation for a third round of negotiations in July 1994. The compromise envisioned in the DoP was that while the south would have the right to self-determination because of the high level of polarization in Sudan, priority should be given to unity to be created through a national consensus. </t>
  </si>
  <si>
    <t xml:space="preserve">Another round of negotiations was subsequently held in Nairobi between 18 and 28 July 1994. While the SPLM/A accepted the DoP, the government side rejected the document. Nevertheless, on 23 July 1994, the Government of Sudan declared a unilateral ceasefire. This ceasefire was initially rejected by SPLM/A, but was eventually accepted. The ceasefire was later broken, probably by both sides. </t>
  </si>
  <si>
    <t>The parties met again for IGAD-sponsored negotiations in Nairobi between 5 and 7 September 1994, but the talks again ended in a deadlock. Earlier in the year, between May and July, various Western diplomatic initiatives were coordinated in a new grouping, named the Friends of IGAD. The goal of this contact group was to increase the leverage of the IGAD mediation efforts.</t>
  </si>
  <si>
    <t>In 1995, former US president Jimmy Carter managed to conduct shuttle mediation between the conflict parties, which led to a two-month ceasefire that was unilaterally announced by the Government of Sudan on 28 March 1995. The two-month ceasefire would help a health campaign organized by the Carter Center against Guinea worm infestation and river blindness in the south.  In addition to the ceasefire, the rebels were offered amnesty if they laid down their weapons. The SPLM/A accepted the ceasefire two days later on 1 June 1995, although some elements within the organisation rejected the ceasefire. The SPLM/A also called for international monitoring of the ceasefire. According to Carter, the ceasefire was holding with a few minor exceptions. Yet, the conflict parties accused each other of violating the ceasefire. In August 1995, the conflict parties agreed to resume peace talks, but not to extend the ceasefire. Yet, the talks never took place.</t>
  </si>
  <si>
    <t xml:space="preserve">South African President Nelson Mandela held separate discussions with the conflict parties and succeeded in initiating direct talks, which began on 28 August 1997 in Nairobi under the aegis of IGAD. These talks were chaired by Kenyan Foreign Minister Kalonzo Musyoka, but representatives of Eritrea, Ethiopia, and Uganda were all participating in the mediation process. </t>
  </si>
  <si>
    <t>At this IGAD summit in Nairobi in July 1997, Kenyan President Moi succeeded in convincing President al-Bashir to finally accept the DoP and resume direct negotiations with the SPLM/A in October 1997.  While the IGAD mediators tried to push the conflict parties to discuss how the DoP could be transformed in a sustained negations process, the negotiations that were held in October 1997 remained deadlocked on the issue of secularism, but also on the modalities of a referendum and the length of the transition period. When talks broke down again, the IGAD mediators issue a communique on 11 November 1997, which stated that the IGAD mediators would shuttle between the adversaries, but that direct negotiations would be adjourned until April 1998</t>
  </si>
  <si>
    <t xml:space="preserve">The conflict parties resumed peace talks in Nairobi on 4 May 1998, under the auspices of IGAD. Not wanting to appear as an obstructionist, the Sudanese government accepted self-determination for the south on the basis of a referendum during this round of talks. </t>
  </si>
  <si>
    <t xml:space="preserve">Another round of IGAD-sponsored peace talks was held in Addis Ababa between 6 and 8 August. This round of talks was also attended by Secretary-General of the Organization of African Unity Salim Ahmed Salim. </t>
  </si>
  <si>
    <t>Up until 1999, the Kenyan minister of Foreign Affairs had acted as the chief mediator of the peace talks, but it was decided in mid-1999 that a mediator needed to be appointed that could lead sustained negotiations. To this end, Daniel Mboya, the former Kenyan Ambassador to Sudan, was appointed. IGAD-sponsored peace talks were resumed in Nairobi on 20 July 1999. The parties agreed on procedural issues for further talks, but they failed to make any progress on substantial issues pertaining to a comprehensive ceasefire, self-determination for the south, defining a border, and the relation between religion and state.</t>
  </si>
  <si>
    <t>Former vice-president of Sudan Abel Alier separately consulted Garang and Bashir, after which he proposed a confederal solution to the conflict. This was rejected by the Government of Sudan.</t>
  </si>
  <si>
    <t xml:space="preserve">A round of negotiations mediated by IGAD took place in January 2000. After this round of negotiations, the parties issued a joint communiqué in which they reiterated their commitment to a peaceful solution and said they agreed on self-determination for the people of southern Sudan. </t>
  </si>
  <si>
    <t>Additionally, the UN was also involved in mediation between the conflict parties in a round of shuttle negotiations in February 2000. The goal of this UN mediation effort was to conclude a humanitarian ceasefire to allow for the vaccination of 54,000 children in the Nuba mountains. This mediation effort was successful. The conflict parties agreed on a three-day ceasefire in February 2000.</t>
  </si>
  <si>
    <t xml:space="preserve">Another second three-day ceasefire was brokered in March 2000. </t>
  </si>
  <si>
    <t xml:space="preserve">Another IGAD-mediated round of negotiations took place between 21 and 30 September 2000. During this round of peace talks, the mediators proposed a two-tier arrangement in which all institutions on a national level were to be neutral on religion. This proposal was accepted by the SPLM/A, but rejected by the Government of Sudan. </t>
  </si>
  <si>
    <t>Pre-negotiations took place in Buergenstock in December 2001.</t>
  </si>
  <si>
    <t xml:space="preserve">The Government of Sudan and the SPLM/A met for a week of talks in Buergenstock in January 2002. The mediation team included both American and Swiss diplomats and the Swiss Ambassador Josef Bucher acted as the chief mediator. After six days of negotiations, the conflict parties concluded a ceasefire pertaining to the Nuba Mountains on 19 January 2002. It was agreed that the ceasefire in Nuba Mountains would monitored by Britain, France, Italy, the Netherlands, Norway, Switzerland and the US. The peace talks in Switzerland were coordinated with IGAD and thus complementary to the IGAD-led peace process. </t>
  </si>
  <si>
    <t xml:space="preserve">Negotiations mediated by IGAD were resumed in Machakos in June 2002. The mediation team at Machakos was led by Kenyan General Lazaro Sumbeiywo. Although Kenya chaired the peace talks, diplomats from Eritrea, Ethiopia and Uganda were also heavily involved. Moreover, there was active engagement from the four official observer countries in the peace process: the UK, the US, Norway and Italy. As soon as the talks at Machakos started, the conflict parties agreed to extend the ceasefire in the Nuba Mountains for another six-month period. </t>
  </si>
  <si>
    <t xml:space="preserve">On 20 July 2002, the SPLM/A and the Government of Sudan signed the Machakos Protocol. The peace agreement stipulated the general procedures for a transitional process, but also committed the conflict parties to engage in further negotiations to specify the terms of the framework. </t>
  </si>
  <si>
    <t xml:space="preserve">Negotiations were resumed in Machakos on 12 August 2002, but collapsed on 2 September 2002 after the SPLM/A seized the strategically important town of Torit. </t>
  </si>
  <si>
    <t xml:space="preserve">Nevertheless, the adversaries engaged in another round of IGAD-mediated negotiations between October and November 2002. At the start of this round, the conflict parties signed an initial ceasefire on 15 October 2002, referred to as the Memorandum of Understanding on Cessation of Hostilities.  </t>
  </si>
  <si>
    <t xml:space="preserve">On 18 November 2002, when negotiations closed for the year, a Memorandum of Understanding was signed, but no comprehensive agreement had been reached. The talks were adjourned until 6 January 2003, due to Ramadan, Christmas, and the Kenyan elections. </t>
  </si>
  <si>
    <t>However, the parties were invited to Washington for informal talks on 19 and 20 December 2002. The US became more involved during 2002. In addition to attending and organising peace talks, it had issued the Sudan Peace Act. This act authorised the President of the US to seek a UN Security Council resolution for an arms embargo and to actively seek other financial and diplomatic methods to influence the conduct of the Sudanese Government. The US held out the prospects of trade and development aid opportunities, as well as a normalization of relations.</t>
  </si>
  <si>
    <t xml:space="preserve">IGAD-negotiations, led by the chief mediator Lazaro Sumbeiywo, continued in 2003 throughout the entire year. The US, the UK, Norway and Italy all had observer status during the talks and took part in the mediation. Norway also funded the peace talks. The Arab League announced in May 2003 that it would also begin attending the peace talks as an observer. Ambassador Samir Hosni, Director of the Arab-African cooperation at the Arab League subsequently attended the meetings. In spite of some clashes in early 2003, negotiations started on 23 January 2003. The talks focused on power and wealth sharing. </t>
  </si>
  <si>
    <t xml:space="preserve">The implementation of the Memorandum of Understanding on Cessation of Hostilities signed on 15 October 2002 was further improved during a round of negotiations in February 2003, with the signing an addendum to the MOU on 4 February 2003, which created a Verification and Monitoring Team (VMT). The VMT consisted of international observers to verify accusations of ceasefire violations. The conflict parties also agreed to cede control of areas captured since the signing of the ceasefire agreement in October 2002. With regard to the issue of power sharing, the conflict parties agreed on a framework of a government of national unity in which the SPLM/A would be a major partner. </t>
  </si>
  <si>
    <t>Another round of negotiations, which started on 4 March 2003, focused on the status of three disputed areas – the Nuba Mountains, Southern Blue Nile, and Abyei – though with limited progress. A major turning point in the peace process occurred at a meeting on 2 April, when President Omar al-Bashir and SPLM/A leader John Garang met and shook hands.</t>
  </si>
  <si>
    <t xml:space="preserve">A new round of talks, addressing security issues, started on 7 April, but was stalemated on how to unify the national army.  </t>
  </si>
  <si>
    <t>A new round negotiations on security issues was held in May 2003.</t>
  </si>
  <si>
    <t xml:space="preserve">Another round of negotiations was held in June 2003. </t>
  </si>
  <si>
    <t xml:space="preserve">Yet another round of negotiations on security issues was held in August 2003. None of these rounds of talks resulted in much progress. Nevertheless, the ceasefire, which was due to expire on 30 June, was extended by both parties. </t>
  </si>
  <si>
    <t xml:space="preserve">The peace process took a positive turn when Vice President Ali Osman Mohamed Taha and John Garang entered into negotiations on 4 September 2003. </t>
  </si>
  <si>
    <t>Subsequent discussions on power sharing and security issues resulted in the signing of the Agreement on Security Arrangements During the Interim Period on 25 September 2003. The ceasefire was also extended by two months.</t>
  </si>
  <si>
    <t>On 7 October 2003, the delegations met again for further talks. After nine days of the beginning of these talks, Taha and Garang arrived to continue negotiations, which lasted until 26 October.</t>
  </si>
  <si>
    <t>Another round of negotiations started again on 30 November.</t>
  </si>
  <si>
    <t xml:space="preserve">On 7 December, Taha and Garang arrived to take part in this round of negotiations. This resulted in the parties agreeing in principle on a 50-50 sharing of oil wealth in the south during the interim period. </t>
  </si>
  <si>
    <t xml:space="preserve">Throughout 2004, the SPLM/A and the Government of Sudan held negotiations in Kenya based on the process agreed on in the Machakos Protocol singed in 2002. The continuous negotiations resulted in the signing of several protocols and agreements that were to make up the foundation of the final Comprehensive Peace Agreement. During a round of negotiations in Naivasha in January 2004, the Framework on Wealth Sharing During the Pre-Interim and Interim Period was signed on 7 January 2004. </t>
  </si>
  <si>
    <t>The next round of talks in May 2004  resulted in the signing of three agreements in Naivasha on 26 May: the Protocol Between the SUDANESE GOVERNMENT and SPLM on the Resolution of Conflict in Southern Kordofan/Nuba Mountains and Blue Nile States on 26 May 2004, the Protocol Between the SUDANESE GOVERNMENT and SPLM on the Resolution of Conflict in Abyei Area on 26 May 2004, and the Protocol Between the SUDANESE GOVERNMENT and SPLM on Power Sharing on 26 May 2004. The conclusion of the three agreements finalised the political negotiations. The only issues that still needed to be addressed were the more technical issues of a comprehensive ceasefire, security arrangements, and the implementation of the peace agreement. However, during the two months after signing of the three peace agreements, the Government of Sudan claimed to be too busy with the situation in Darfur.</t>
  </si>
  <si>
    <t xml:space="preserve">On 7 October 2004, Garang and Taha started another round of negotiations. </t>
  </si>
  <si>
    <t xml:space="preserve">On 19 November, the government and SPLM/A signed a Memorandum of Understanding, committing the conflict parties to sign a comprehensive peace agreement no later than 31 December 2004. </t>
  </si>
  <si>
    <t>Consequently, talks between Garang and Taha resumed again on 7 December 2004 and continued until Christmas Eve. The parties marked the end of the conflict on 31 December 2004 by the signing of a permanent ceasefire.</t>
  </si>
  <si>
    <t xml:space="preserve">Salva Kiir engaged in negotiations with Sudanese government officials mediated by the US in Washington on 20 July 2006. In August 2006, the SPLM/A and Sudanese government forces clashed in the Rubkona area of Unity State, resulting in the death of eight civilians and three soldiers. Heavy fighting between the SPLM/A and government forces in Malakal from 27 to 30 November 2006 resulted in at least 150 people dead. </t>
  </si>
  <si>
    <t xml:space="preserve">Fighting escalated in Abyei May 2008. Between 13 and 21 May 2008, at least 90 people were killed in Abyei during violence between government forces and the SPLM/A. Negotiations mediated by the UN led to the signing of an agreement on 8 June 2008. This agreement stipulated a new ceasefire and referred the boundary demarcation to the Permanent Court of Arbitration (PCA) in The Hague. </t>
  </si>
  <si>
    <t xml:space="preserve">With tensions increasing and the referendum on self-determination for Southern Sudan approaching, the AU started to take the lead in mediating the successful implementation of the CPA. To this purpose, the AU High-Level Implementation Panel for Sudan (AUHIP) was established during a meeting of the AU Peace and Security Council on 29 October 2009. Led by former South African President Thabo Mbeki, the panel was mandated to assist the Sudanese parties in the implementation of the CPA. </t>
  </si>
  <si>
    <t>On 19 and 20 July 2010, the AUHIP conveyed a meeting in Juba, at which the AUHIP mediators and the conflict parties formulated a framework for future negotiations, including guiding principles, proposals on clusters for negotiations, and the role of outside experts.</t>
  </si>
  <si>
    <t>With the 2011 referendum held in the next month, the AUHIP once more tried to resolve the conflict over Abyei at a meeting in Juba on 13 December 2010, but this effort proved fruitless as well. This meeting also reviewed progress on post-referendum issues.</t>
  </si>
  <si>
    <t xml:space="preserve">After the successful military coup of 30 June 1989, which replaced President Ahmed Ali al-Mirghani with President Omar el-Bashir, all political parties were banned, and strict Islamic legal codes were enforced. The coup led to the formation of an umbrella opposition group called the National Democratic Alliance (NDA). In 1990, the SPLM/A joined the NDA, which at the time was a non-militant opposition group. The NDA aimed to remove the regime and set up a democratic system in Sudan. The NDA further envisioned that as part of this new democratic system the people in the South would have the right to a referendum on self-determination. The NDA was fairly loosely organised, composed of a variety of different entities such as civil society organisations, as well as rebel groups. Groups taking part in the alliance have on several occasions acted on their own, both when it comes to negotiations with and fighting against the government. Until 1996, the NDA was a solely political platform, but in September 1996, the NDA decided to set up a joint military force. After this point the NDA was both an umbrella organisation and an organisation with its own military and commanders fighting under the NDA banner. The Sudan peace process led by the Intergovernmental Authority on Development (IGAD) solely included the government and the SPLM/A. Hence, the NDA as an alliance was excluded from all negotiations mediated by IGAD.  In July 1999, Libyan leader of state Muammar al-Gaddafi proposed a conference on national dialogue at a NDA meeting in Tripoli. Both the NDA leadership and the Sudanese government accepted to engage in negotiations mediated by Libya and Egypt. A five-point peace plan was subsequently presented by Libya and Egypt, which included the whole NDA in the process. This plan was welcomed by the NDA as the best comprehensive political solution to the civil war. The Government of Sudan also approved of the five-point plan. The Libyan-Egyptian peace initiative faced great obstacles due to Egypt’s opposition to self-determination for the south, which was one of the cornerstones of the IGAD peace process. Nevertheless, SPLM/A leader John Garang expressed his support for the Libyan-Egyptian initiative in principle, but called for a coordination with the IGAD process. In spite of the acceptance of the peace plan, no direct negotiations between the NDA and the Government of Sudan took place as part this initiative. No negotiations or mediation took place in 1999. Egypt mediated between the adversaries through separate meetings with representatives from the Government of Sudan and the leaders of the NDA. A round of shuttle negotiations between the conflict parties, mediated by Egypt, took place in Cairo in the spring of 2000. </t>
  </si>
  <si>
    <t>Another round of Egypt-mediated shuttle negotiations took place in Cairo in the summer of 2000.</t>
  </si>
  <si>
    <t>A round of negotiations between the NDA and the Sudanese government, mediated by Saudi Arabia, in early December led to the conclusion of a framework agreement in Jeddah on 4 December 2003.</t>
  </si>
  <si>
    <t>A round of negotiations between NDA and the Government of Sudan took place in Cairo in October in 2004 under the auspices of Egypt. The negotiations continued with different rounds throughout the year.</t>
  </si>
  <si>
    <t xml:space="preserve">Following a round of negotiations from 14 to 16 January 2005, under the auspices of the Government of Egypt, the conflict parties signed a peace process agreement in Cairo on 16 January 2005. This framework agreement outlined the issues involved in reaching a comprehensive peace and complements the SPLM/A peace agreement of the same month and year. It calls for abolishing emergency laws and statutes restricting freedoms, establishing new laws for Sudanese political parties, methods of allowing for power sharing, and the dissolution of NDA forces. The agreement set up a number of commissions to discuss these issues in order to reach a comprehensive peace agreement. </t>
  </si>
  <si>
    <t xml:space="preserve">A round of negotiations in June 2005 subsequently led to the signing of a full peace agreement on 18 June 2005, referred to as the Cairo Agreement. </t>
  </si>
  <si>
    <t>On 22 September 2005, the NDA joined the Government of National Unity and the parliament of Sudan following discussions between June and August 2005 on the basis of the Cairo agreement.</t>
  </si>
  <si>
    <t>The armed opposition groups agreed to this, but the Sudanese government suddenly aborted these talks.” In late March 2004, peace talks between the Government of Sudan and the two rebel groups SLM/A and JEM began in N’djamena in Chad. Chad mediated these negotiations. However, both the SLM/A and JEM were dissatisfied with the mediation by Chad, whom they considered too biased towards the Government of Sudan. The Government of Sudan initially refused to hold face-to-face talks. Yet, when the SLM/A threatened to walk out of the negotiations, the Government of Sudan gave in and sat down with the rebels.</t>
  </si>
  <si>
    <t xml:space="preserve">In early March 2004, senior AU officials held consultations with Sudanese government officials in Khartoum to discuss mediation by the AU. On the basis of these consultations, the AU initiated pre-negotiations between the Government of Sudan on the one side and the SLM/A and JEM on the other side in May 2004. The director of the AU Department of Peace and Security, Ambassador Sam Ibok, had been mandated by the AU Chairperson and President of Mali, Alpha Konaré, to act as the AU chief mediator at these talks.  </t>
  </si>
  <si>
    <t xml:space="preserve">The parties met for a first round of negotiations in Addis Ababa at the AU headquarters between 15 and 17 July 2004. </t>
  </si>
  <si>
    <t xml:space="preserve">The director of the AU Department of Peace and Security, Ambassador Sam Ibok, had been mandated by the AU Chairperson and President of Mali, Alpha Konaré, to act as the AU chief mediator at these talks. 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The second round of what came to be known as the Abuja talks started in Abuja on 23 August under the auspices of President Olusegun Obasanjo, the chairman of the AU. These talks resulted in the Protocol on the Improvement of the Humanitarian Situation in Darfur, signed on 1 September by the Government of Sudan, the SLM/A, and the JEM. This round of negotiations ended on 17 September.  </t>
  </si>
  <si>
    <t>The third round of Abuja talks started on 21 October, resulting in the signing of the Humanitarian and Security Protocols on 9 November.</t>
  </si>
  <si>
    <t>The parties met between 11 and 21 December for the fourth round of the Abuja talks, which ended with a promise of the conflict parties to commit to the ceasefire agreement signed on 8 April and the Humanitarian and Security Protocols from November, as well as a promise to seek a peaceful solution to the conflict.</t>
  </si>
  <si>
    <t>The first meeting in 2005, held in Chad in February, was supervised by Chadian President Idriss Deby and attended by international mediators and the Chairperson of the African Union Commission Alpha Oumar Konaré.</t>
  </si>
  <si>
    <t xml:space="preserve">In May 2005, Salim Ahmed Salim, the former Secretary-General of the Organization of African Unity, was appointed as the AU Special Envoy for the Darfur Talks and chief mediator. Salim Ahmed Salim mediated a round of negotiations in Abuja between 10 June and 5 July 2005. This round of negotiations led to the signing of the “Declaration of Principles” on 5 July 2005, after more than three weeks of negotiating. The declaration included provisions for refugees to return home and new security arrangements. It also committed the signatories to respect the different ethnic and religious groups in Sudan and work towards an equitable distribution of national wealth. </t>
  </si>
  <si>
    <t xml:space="preserve">A sixth round of AU-sponsored peace talks began in September. Yet, these negotiations were plagued by rebel divisions and violence on the ground. The sixth round ended 20 October 2005.  </t>
  </si>
  <si>
    <t xml:space="preserve">The seventh and final round of talks mediated by the AU started in Abuja on 29 November 2005. From the start of the seventh round of talks, the pressure on the conflict parties to sign a peace agreement steadily increased. The Western governments funding the peace process warned the parties that funding for the peace process could dry up in the absence of progress during the talks. The meetings of the seventh round of negotiations were held at different locations, but finished again in Abuja. The negotiations took place within three categories: power sharing, wealth sharing, and security arrangements. On the basis of the bilateral consultations and plenary sessions on these three categories which had been ongoing for more than five months, the AU mediation team submitted to the parties a draft peace agreement for the parties to sign in late April 2006. </t>
  </si>
  <si>
    <t>A number of high-profile diplomats arrived in Abuja on 2 May 2006 in order to force a breakthrough in the negotiations. US Deputy Secretary of State Robert Zoellick and British Secretary of State for International Development Hilary Benn took over the mediation process in this final stage of the seventh round of the Abuja peace talks. Only two 48-hr extensions to the talks’ deadline were subsequently allowed. The US mediation team promised the rebel leaders that if they signed the Darfur Peace Agreement (DPA), the US would guarantee its implementation. To back-up this promise, Zoellick carried personal letters with him from President George W. Bush assuring the rebel leaders of the US’s commitment to the DPA. In addition, the UN Security Council had imposed an arms embargo on all non-governmental entities operating in Darfur in July 2004. This sanctions regime was strengthened with the adoption of resolution 1591 in March 2005, which expanded the scope of arms embargo to also include all the parties to the N’djamena Ceasefire Agreement and any other belligerents, as well as imposed a travel ban and an assets freeze on individuals designated by the UN Sanctions Committee. In spite of the pressure put on the conflict parties to sign the peace agreement, the JEM and the SLM/A led by Abdul Wahid refused to sign the agreement, leaving the SLM/A led by Minni Minnawi as the only rebel party that signed the DPA on 5 May 2006. From the signing of the DPA on 5 May 2006 onwards, AU mediators Alex de Waal and Sam Ibok met with SLM/A leader Abdul Wahid several times a day to get clarity on his objections to the DPA. They encouraged him to write to Salim Ahmed Salim a letter in which he could specify on what was needed in order for him to sign the DPA. In his letter send to Salim on 10 May, Abdul Wahid proposed to conclude a ‘supplementary agreement’ to the DPA, demanding greater representation at the legislature and executive bodies of Darfur, as well as a larger compensation fund for Darfur. However, Salim knew that the chief government negotiator, Majzoub El Khalifa, would reject this option, instead insisting that Abdul Wahid had to sign the DPA first, after which some of the remaining issues could be negotiated. Consequently, on 13 May 2006, Salim replied to Wahid that the AU could not re-open negotiations on the DPA, but was willing to support the conflict parties in implementing the agreement. Sam Ibok subsequently tried to persuade Wahid that the AU’s insistence on implementation rather than concluding a supplementary agreement would still allow Wahid to get what he wanted. Ibok’s effort to persuade Wahid did not work. Wahid kept insisting on a supplementary agreement. The AU Peace and Security Council decided on 16 May 2006 that the non-signatory groups would have another two weeks to sign the DPA.</t>
  </si>
  <si>
    <t>A final mediation attempt was launched by the EU during the last week of May 2006, but Abdul Wahid in the end did not show up for negotiations. Instead, he flew to Asmara, Eritrea, at the invitation of JEM leader Khalil Ibrahim to discuss the founding of a rebel alliance.</t>
  </si>
  <si>
    <t xml:space="preserve">In February 2007, a joint UN/AU mediation effort was initiated, headed by Jan Eliasson and Salim Ahmed Salim, who respectively represented the UN and the AU.  However, the JEM refused to attend any negotiations.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negotiations took place in 2008 as the warring parties did not meet each other. JEM resisted negotiations with other rebel groups present and said that they should be the only one representing the Darfur side in the negotiations. The reason they stated for this was that the government could play the rebels against each other if they were represented by several groups. Bassolé went along with this demand by JEM, because he also believed that if the JEM would sign a deal, then the other rebel parties would follow.  In January 2009, after it had been agreed that JEM would be the sole representative of the Darfurian rebels, Djibril Bassolé succeeded in initiating negotiations between the Government of Sudan and the JEM.  </t>
  </si>
  <si>
    <t xml:space="preserve">The negotiations took place from January to February in Doha, the capital of Qatar. The negotiations led to the signing of the declaration of good will and confidence-building agreement (CBA) on 17 February 2009. This agreement was supposed to pave the way for more comprehensive negotiations. However, one day after the agreement was signed, JEM positions were bombed by government forces. </t>
  </si>
  <si>
    <t>Another round of negotiations took place in November 2009, but these talks took place in Chad and were mediated by Chadian President Idriss Déby, without the involvement of Bassolé. President Déby initiated these peace negotiations between the JEM and the government of Sudan as part of a rapprochement between Sudan and Chad. Accordingly, Déby presented Sudanese government negotiators with the draft of framework agreement that stipulated that in a final peace agreement the JEM should have representation at all governmental levels.</t>
  </si>
  <si>
    <t xml:space="preserve">Another round of negotiations between the Government of Sudan and the JEM, mediated by Chad, took place in N’Djamena on 20 January. </t>
  </si>
  <si>
    <t xml:space="preserve">Another round of negotiations between the Sudanese government and the JEM on 20 February 2010 mediated by Chad led to the conclusion of a framework agreement between the Sudanese government and the JEM on 20 February 2010.  Déby had invited Bassolé to N’Djamena to witness the signing of the framework agreement between the Sudanese government and the JEM on 20 February 2010.The agreement called for a ceasefire, release of hundreds of JEM-fighters that were imprisoned, and set out terms for future negotiations. </t>
  </si>
  <si>
    <t xml:space="preserve">On 23 February, the Sudanese government and the JEM signed an almost identical agreement in Doha, allowing “the Qataris to claim the glory for the deal hatched entirely in N’Djamena” as Alex de Waal puts it. As the host country, Qatar provided material incentives for the conflict parties to make peace through promising to allocate substantial funds for future development projects in Darfur. During the negotiations leading up to the Doha Agreement, Qatar had promised an amount of two billion US Dollars for rebuilding Darfur if the Government of Sudan and the various rebel movements participating in the Doha negotiations were to sign a peace agreement. The agreement did not hold. </t>
  </si>
  <si>
    <t xml:space="preserve">JEM left the ongoing negotiations on 3 May 2010, making it clear that it suspended its participation in the Doha process because of the Sudanese army of breaching the cessation of hostilities agreement. </t>
  </si>
  <si>
    <t xml:space="preserve">In late 2002, the Sudan Liberation Movement/Army (SLM/A) and the Justice and Equality Movement (JEM) took up arms against the Sudanese government. On 14 March 2003, the Darfur based SLM/A stated in a press release that it shall fight for a secular Sudan with a decentralised form of governance, using armed struggle as one of the means to achieve this political goal. By the time this press statement was released the armed conflict had already begun. One of the first organized attacks took place as early as June 2002, when Darfurian rebels targeted a police station in Golo. Yet, it was not until March 2003 that the armed conflict escalated, when several coordinated armed attacks led by SLM/A leader Abdel Wahid were launched on various government army units. When the armed opposition groups took up arms, the Sudanese government initially kept the communication channels open. For instance, after the attack on the police station in Golo in June 2002, the Sudanese government dispatched the chairman of the Parliament’s Transport Commission, Idris Yusuf, to negotiate with the armed groups.  From March 2003 onwards, when attacks on government targets became more frequent, the Governor of North Darfur, Ibrahim Suleiman, formed and ad hoc Darfur Security Committee to negotiate an end to the violence in Darfur. However, this peace effort was terminated as soon as government officials had successfully negotiated the return of commander of the Sudanese air force Ibrahim Bushra, who had been captured during the attack on El Fasher airbase.  </t>
  </si>
  <si>
    <t>In late August 2003, Chad acted as mediator during talks between the Sudanese Government and the SLM/A in Abéché, under the auspices of President Idriss Deby. After five days of negotiations, the conflict parties signed a ceasefire agreement on 3 September. Directly after the talks, Sudan released 54 rebel prisoners as part of the deal. However, only a few days later, the SLM/A accused the Government of Sudan of breaking the ceasefire, which the latter denied. A month later, the SLM/A released 42 prisoners. The Abéché Ceasefire Agreement also called for comprehensive peace talks.</t>
  </si>
  <si>
    <t>Consequently, official negotiations – which came to be known as the Abéché Ceasefire renewal talks – started on 29 October 2003, one day prior to the ceasefire which had been negotiated on 15 September would end. During these talks, the Chadian Government proposed a draft peace agreement. The talks ended without any results, mainly because the SLM/A demanded the presence of international monitors in Darfur, while the Government of Sudan rejected this.</t>
  </si>
  <si>
    <t>A closed-door round of pre-negotiations between several Chadian generals and a SLM/A delegation led by Minni Minnawi took place in N’djamena on the evening of 28 November 2003 in preparation of the scheduled formal peace talks the next day. However, based on this meeting, President Déby cancelled the scheduled negotiations last minute, accusing the SLM/A of unrealistic demands.</t>
  </si>
  <si>
    <t>On 15 December 2003, the conflict parties met once more for negotiations in Chad, but the talks broke down after less than 24 hours.</t>
  </si>
  <si>
    <t>The negotiations that started in late March 2004 led to the signing of the  N’djamena Humanitarian Ceasefire Agreement on 8 April 2004, stipulating among others a 45-day cessation of hostilities, the release of prisoners of war, and the facilitation of humanitarian access to Darfur. The ceasefire agreement also called for the deployment of a monitoring team to observe compliance with the ceasefire. The Government of Sudan also committed to neutralizing the armed militias during the negotiations. All parties violated the ceasefire agreement at numerous occasions throughout the year.</t>
  </si>
  <si>
    <t>A final mediation attempt was launched by the EU during the last week of May 2006, but Abdul Wahid in the end did not show up for negotiations. Instead, he flew to Asmara, Eritrea, at the invitation of JEM leader Khalil Ibrahim to discuss the founding of a rebel alliance. In February 2007, a joint UN/AU mediation effort was initiated, headed by Jan Eliasson and Salim Ahmed Salim, who respectively represented the UN and the AU. The SLM/A faction led by Minni Minnawi lost power and the movement was now led by Abdul Wahid. The SLM/A refused to attend the UN/AU organised negotiations in Sirtre, Libya. Hence, they were not involved in any negotiations with the Government of Sudan in 2007, although the SLM/A leadership did consult with the UN/AU negotiation team.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real negotiations took place in 2008 as the warring parties did not meet each other. Abdul Wahid, the leader of SLM/A, demanded that security had to be provided for the civilians in Darfur before he would enter negotiations. Djibril Bassolé continued his efforts as the chief mediator of the joint UN/AU mediation effort in 2009. SLM/A leader Abdul Wahid refused to leave his exile in Paris. Consequently, no negotiations were held between the SPLM/A and the Government of Sudan in 2009.In 2010, Djibril Bassolé continued his efforts as the chief mediator of the joint UN/AU mediation effort. In contrast to several of the other rebel groups based in Darfur, the SLM/A and its leader Abdul Wahid refused to negotiate with the Government of Sudan until the security situation in Darfur would improve.</t>
  </si>
  <si>
    <t>UNAMID mediated between Sudanese Vice-President Ali Osman Taha and Minni Minawi in al-Fasher in September 2008. The mediation effort led to an agreement that committed both sides to the DPA.</t>
  </si>
  <si>
    <t>In August 2009, UNAMID convened a Round Table meeting of the Parties and Partners of the DPA on the implementation of the DPA. The meeting was chaired by UNAMID Joint Special representative (JSR), Mr. Rodolphe Adada.</t>
  </si>
  <si>
    <t xml:space="preserve">Another round of negotiations starting in early January 2011 led to the conclusion of a ceasefire on 5 January 2011. The Episcopal Church of Sudan moderated these talks. On 23 March 2011, fighting erupted between the South Sudan Liberation Movement/Army (SSLM/A) led by Peter Gadet and the autonomous Government of South Sudan in the Mayom county in Unity State. Bapiny Monytuil, who would later become the deputy head of SSLA, led these attacks. The SSLM/A operated mainly in the Unity State, but was also involved in clashes in the Upper Nile State. It received support from the Government of Sudan, including weapons, ammunition, funding, and logistical support. On 11 April 2011, the SSLM/A released a document, called the Mayom Declaration, in which it is claimed that the Government of South Sudan has failed. </t>
  </si>
  <si>
    <t>Nigeria</t>
  </si>
  <si>
    <t>Kenya</t>
  </si>
  <si>
    <t>Switzerland</t>
  </si>
  <si>
    <t>Egypt</t>
  </si>
  <si>
    <t>Saudi Arabia</t>
  </si>
  <si>
    <t>Chad</t>
  </si>
  <si>
    <t>Qatar</t>
  </si>
  <si>
    <t>Carter Center</t>
  </si>
  <si>
    <t>Abel Alier</t>
  </si>
  <si>
    <t xml:space="preserve">AU </t>
  </si>
  <si>
    <t>EU</t>
  </si>
  <si>
    <t>Darfur Security Committee</t>
  </si>
  <si>
    <t>Episcopal Church of Sudan</t>
  </si>
  <si>
    <t>Ceasefire</t>
  </si>
  <si>
    <t>Communique of the Abuja Sudanese Peace Conference</t>
  </si>
  <si>
    <t>Machakos Protocol</t>
  </si>
  <si>
    <t xml:space="preserve">Memorandum of Understanding </t>
  </si>
  <si>
    <t>Peace Agreement</t>
  </si>
  <si>
    <t xml:space="preserve">Ceasefire; Agreement on Security Arrangements During the Interim Period </t>
  </si>
  <si>
    <t>Framework on Wealth Sharing During the Pre-Interim and Interim Period</t>
  </si>
  <si>
    <t>Protocol Between the SUDANESE GOVERNMENT and SPLM on the Resolution of Conflict in Southern Kordofan/Nuba Mountains and Blue Nile States; the Protocol Between the SUDANESE GOVERNMENT and SPLM on the Resolution of Conflict in Abyei Area; and the Protocol Between the SUDANESE GOVERNMENT and SPLM on Power Sharing</t>
  </si>
  <si>
    <t>Cairo Agreement</t>
  </si>
  <si>
    <t>N’djamena Humanitarian Ceasefire Agreement</t>
  </si>
  <si>
    <t>Protocol on the Improvement of the Humanitarian Situation in Darfur</t>
  </si>
  <si>
    <t>Humanitarian and Security Protocols</t>
  </si>
  <si>
    <t>Declaration of Principles</t>
  </si>
  <si>
    <t xml:space="preserve">Darfur Peace Agreement </t>
  </si>
  <si>
    <t xml:space="preserve">Declaration of good will and confidence-building agreement </t>
  </si>
  <si>
    <t>Protocol on the Participation of JEM-Sudan at the different levels of Government and on the Integration of its Forces</t>
  </si>
  <si>
    <t>Agreement between the Government of Sudan and the Justice and Equality Movement-Sudan on the Basis of the Doha Document for Peace in Darfur (DDPD)</t>
  </si>
  <si>
    <t>Abéché Ceasefire</t>
  </si>
  <si>
    <t>OAU</t>
  </si>
  <si>
    <t>NIG</t>
  </si>
  <si>
    <t>KEN</t>
  </si>
  <si>
    <t>USA</t>
  </si>
  <si>
    <t>SWZ</t>
  </si>
  <si>
    <t>EGY</t>
  </si>
  <si>
    <t>SAU</t>
  </si>
  <si>
    <t>CHA</t>
  </si>
  <si>
    <t>QAT</t>
  </si>
  <si>
    <t>Eritrea</t>
  </si>
  <si>
    <t>Uganda</t>
  </si>
  <si>
    <t>United States of America</t>
  </si>
  <si>
    <t>ERI</t>
  </si>
  <si>
    <t>UGA</t>
  </si>
  <si>
    <t>South Africa</t>
  </si>
  <si>
    <t>SAF</t>
  </si>
  <si>
    <t>conflict locale</t>
  </si>
  <si>
    <t>negotiation ID</t>
  </si>
  <si>
    <t>mediation ID</t>
  </si>
  <si>
    <t>N</t>
  </si>
  <si>
    <t>United Kingdom</t>
  </si>
  <si>
    <t>Norway</t>
  </si>
  <si>
    <t>Italy</t>
  </si>
  <si>
    <t>UKG</t>
  </si>
  <si>
    <t>NOR</t>
  </si>
  <si>
    <t>ITA</t>
  </si>
  <si>
    <t>Nuba Mountains; Southern Blue Nile; Abyei</t>
  </si>
  <si>
    <t>Darfur</t>
  </si>
  <si>
    <t>South Sudan Council of Churches</t>
  </si>
  <si>
    <t>Shilluk reth</t>
  </si>
  <si>
    <t>Addis Ababa Agreement</t>
  </si>
  <si>
    <t>Temporary Arrangements for the Administration and Security of Abyei Area</t>
  </si>
  <si>
    <t xml:space="preserve">On 5 June 2011, the SPLM/A-North clashed for the first time with the Government of Sudan in Kadugli and Um Durein, two towns located in South Kordofan. On 9 June 2011, the SPLM/A-North expressed that it fought to remove the central Government in Khartoum. Abdel-Aziz Al-Hilu, a leading figure in the movement and the former deputy Governor of South Kordofan, stated the SPLM/A-North waged a “battle for dignity to accomplish the fundamental change in the centre.” The conflict in South Kordofan and Blue Nile can be seen as a continuation of the civil war between the Sudanese government and the SPLM/A between 1983 and 2005. While fighters from these two areas joined the SPLM/A rebellion as early as 1984. The Comprehensive Peace Agreement (CPA) concluded in 2005 stipulated a referendum on independence for southern Sudan, but this referendum did not apply to South Kordofan and Blue Nile. This provides the background to the SPLM/A-North rebellion. After fighting had started in June, the armed conflict quickly spread to other towns and villages in South Kordofan. In September, fighting also started in the state of Blue Nile, which is located east of South Kordofan, but the fighting in South Kordofan was more intense. The SPM/A-North was supported by the Government of South Sudan. In early June, the AU High-Level Implementation Panel on Sudan (AUHIP) led by former South African president Thabo Mbeki initiated mediated negotiations to end the fighting. SPLM/A-North chairman Malik Agar negotiated for the SPLM/A-North and Ali Nafi for the Sudanese government.This mediation effort led to the signing of a ceasefire on 16 June 2011. Although the conflict parties had signed the ceasefire agreement and were engaged in negotiations, fighting continued throughout June 2011. </t>
  </si>
  <si>
    <t xml:space="preserve">Nevertheless, negotiations in Addis Ababa, mediated by Mbeki, led to the conclusion of an agreement for comprehensive political and security arrangements in the border states of Blue Nile and South Kordofan on 28 June 2011, referred to as the Addis Ababa Agreement. This agreement was signed by Presidential Bashir’s aide Nafie Ali Nafie and SPLM/A-North leader Malik Agar. In spite of the conclusion of this agreement, fighting continued. On 7 July 2011, the government backed out of the agreement with SPLM/A-North. </t>
  </si>
  <si>
    <t>By the end of August 2011, Ethiopian Prime Minister Meles Zenawi mediated talks between President Bashir and Agar. However, the talks did not produce any tangible results. The government announced a unilateral ceasefire for South Kordofan on 23 August 2011, but fighting continued. In November 2011, the SPLM/A-north, SLM/A, SLM/A-MM, and JEM formed a new rebel coalition: the Sudanese Revolutionary Army from 2011 onwards. Accordingly, any peace efforts only involving the SPLM/A-North are listed here, while peace efforts involving the SRF are listed under that dyad.</t>
  </si>
  <si>
    <t xml:space="preserve">The AU High-Level Implementation Panel for Sudan (AUHIP), led by former South African President Thabo Mbeki, mediates a round of negotiations between the Sudanese government and the SPLM/A in May 2011. This led to the drafting of a Joint Position Paper on Border Security, which forms the basis for a Common Border Zone and creates a Joint Political and Security Mechanism.  </t>
  </si>
  <si>
    <t xml:space="preserve">The AUHIP mediated another round of negotiations between the conflict parties on post-referendum issues on 13 June 2011. </t>
  </si>
  <si>
    <t xml:space="preserve">Another round of negotiations on the status of Abyei, mediated by the AUHIP, resulted in the conclusion of the Temporary Arrangements for the Administration and Security of Abyei Area on 20 June 2011. The agreement stipulated a devolution of power to the Abyei Area Administration, with oversight from the Abyei Joint Oversight Committee. In addition, the agreement called for the demilitarization of the Area with the exception of the UN-authorized and Ethiopian-provided Interim Security Force for Abyei (ISFA). The parties also reaffirmed their commitment to resolve the final status of Abyei peacefully, with mediation support from the AUHIP. Although the Temporary Arrangements for the Administration and Security of Abyei Area stipulated, among others that both the SAF and the SPLA needed to be withdrawn from the Abyei Area, the SAF did not give up their control over Abyei. </t>
  </si>
  <si>
    <t>During a round of negotiations, mediated by the AUHIP, on 29 June 2011, the conflict parties formally signed an agreement that drew on the Joint Position Paper on Border Security. South Sudan gained its independence on 9 July 2011. All peace efforts after this date are coded as negotiations between Sudan and South Sudan.</t>
  </si>
  <si>
    <t>Fighting soon erupted again. South Sudan became independent on 9 July 2011. This was the result of a referendum held six months earlier, in which an overwhelming majority of the South Sudanese population voted for independence. The Forces of George Athor subsequently renamed themselves into the South Sudan Democratic Movement/Army (SSDM/A). The new regime in Juba was mainly challenged by the SSDM/A led by George Athor in the Jonglei province. A round of negotiations between George Athor and South Sudanese President Salva Kiir on 20 November in Kenya, mediated by the South Sudan Council of Churches, led to the conclusion of a peace agreement. In spite of this agreement, Athor stepped up the SSDM/A’s armed attacks on government targets in early December 2011. Athor was killed on 19 December 2011, reportedly while entering South Sudan from Uganda. Peter Kuol Chol Awan became the new leader of the SSDM/A.</t>
  </si>
  <si>
    <t>France</t>
  </si>
  <si>
    <t>Germany</t>
  </si>
  <si>
    <t>Roadmap Agreement</t>
  </si>
  <si>
    <t>Pre-Negotiation Agreement</t>
  </si>
  <si>
    <t>Juba Declaration for Confidence Building Procedures and the Preparation for Negotiation</t>
  </si>
  <si>
    <t>FRN</t>
  </si>
  <si>
    <t>GMY</t>
  </si>
  <si>
    <t>Tanzania</t>
  </si>
  <si>
    <t xml:space="preserve">Ethiopia </t>
  </si>
  <si>
    <t>Arusha Agreement</t>
  </si>
  <si>
    <t>Agreement on the Resolution of the Conflict in the Republic of South Sudan</t>
  </si>
  <si>
    <t>Outcome of the Meeting of the Principal Signatory Parties to the Agreement on Planning Implementation of the provisions in Chapter II of the Agreement</t>
  </si>
  <si>
    <t>Entebbe Declaration on the Operationalization of the Arusha Agreement on the Reunification of the SPLM</t>
  </si>
  <si>
    <t>Cairo Declaration on the Reunification of the Sudan People’s Liberation Movement (SPLM)</t>
  </si>
  <si>
    <t>Agreement on Cessation of Hostilities, Protection of Civilians and Humanitarian Access</t>
  </si>
  <si>
    <t>Arusha Agreement on the SPLM Reunification Implementation Matrix</t>
  </si>
  <si>
    <t>Khartoum Declaration of Agreement between Parties of the Conflict of South Sudan</t>
  </si>
  <si>
    <t>Agreement on Outstanding Issues of Security Arrangements</t>
  </si>
  <si>
    <t xml:space="preserve">Agreement on Outstanding issues of Governance </t>
  </si>
  <si>
    <t>Revitalized Agreement on the Resolution of the Conflict in South Sudan</t>
  </si>
  <si>
    <t>TAZ</t>
  </si>
  <si>
    <t>James Ellery</t>
  </si>
  <si>
    <t>PAX</t>
  </si>
  <si>
    <t>Equatorian Church Leaders</t>
  </si>
  <si>
    <t>South Sudanese Church Leaders</t>
  </si>
  <si>
    <t>Blue Nile; South Kordofan</t>
  </si>
  <si>
    <t xml:space="preserve">Blue Nile; South Kordofan </t>
  </si>
  <si>
    <t>China</t>
  </si>
  <si>
    <t>CHN</t>
  </si>
  <si>
    <t>Nuba Mountains; Blue Nile; South Kordofan</t>
  </si>
  <si>
    <t>Berghof Foundation</t>
  </si>
  <si>
    <t>South Kordofan</t>
  </si>
  <si>
    <t>Darfur; South Kordofan; Blue Nile</t>
  </si>
  <si>
    <t>source_2</t>
  </si>
  <si>
    <t xml:space="preserve">https://onlinelibrary.wiley.com/doi/full/10.1111/nana.12648
</t>
  </si>
  <si>
    <t>https://www.peaceagreements.org/viewmasterdocument/918</t>
  </si>
  <si>
    <t xml:space="preserve">https://constitutionnet.org/sites/default/files/Young%20Igad_in_Sudan_Peace_Process.pdf
</t>
  </si>
  <si>
    <t>Ethiopia was the main proponent of the Declaration of Principles and it attempted to apply pressure with carrots and sticks on the Khartoum government and the SPLM.</t>
  </si>
  <si>
    <t>note_2</t>
  </si>
  <si>
    <t>https://onlinelibrary.wiley.com/doi/full/10.1111/nana.12648</t>
  </si>
  <si>
    <t>note_3</t>
  </si>
  <si>
    <t>source_3</t>
  </si>
  <si>
    <t>note_4</t>
  </si>
  <si>
    <t>source_4</t>
  </si>
  <si>
    <t>note_5</t>
  </si>
  <si>
    <t>source_5</t>
  </si>
  <si>
    <t>https://www.peaceagreements.org/view/918/The%20IGAD%20Declaration%20of%20Principles</t>
  </si>
  <si>
    <t>https://constitutionnet.org/sites/default/files/Young%20Igad_in_Sudan_Peace_Process.pdf</t>
  </si>
  <si>
    <t>IGAD Declaration of Principles</t>
  </si>
  <si>
    <t>Asmara Declaration</t>
  </si>
  <si>
    <t>Eritrea’s Isaias Afwerki believed the Khartoum government would soon fall and expelled the Sudanese ambassador from Sudan’s embassy in Eritrea and handed it over to the National Democratic Alliance (NDA) of oppositionists, focussing on diplomatic connections with the NDA, which culminated with the Asmara Declaration of 1995. (Other: shift in diplomatic approach to engage with the opposition, in North Sudan, rather than Sudanese government in Khartoum).</t>
  </si>
  <si>
    <t>Fashoda Relief</t>
  </si>
  <si>
    <t>The Fashoda Relief and Rehabilitation Association (an SPLM-affiliated humanitarian organisation) worked alongside the UNICEF-led Operation Lifeline to negotiate and agree on standards of conduct vis-à-vis humanitarian operations in SPLM-controlled areas</t>
  </si>
  <si>
    <t>https://reliefweb.int/report/sudan/splm-united-operation-lifeline-sudan-agreement-ground-rules</t>
  </si>
  <si>
    <t xml:space="preserve">https://www.peaceagreements.org/view/542/SPLM-United%20/%20Operation%20Lifeline%20Sudan%20Agreement%20on%20Ground%20Rules
     </t>
  </si>
  <si>
    <t xml:space="preserve">https://www.peaceagreements.org/viewmasterdocument/542    </t>
  </si>
  <si>
    <t>The UNICEF-led Operation Lifeline worked alongside the Fashoda Relief and Rehabilitation Association (an SPLM-affiliated humanitarian organisation) to negotiate and agree on standards of conduct vis-à-vis humanitarian operations in SPLM-controlled areas</t>
  </si>
  <si>
    <t>https://www.peaceagreements.org/view/542/SPLM-United%20/%20Operation%20Lifeline%20Sudan%20Agreement%20on%20Ground%20Rules</t>
  </si>
  <si>
    <t xml:space="preserve">
https://www.peaceagreements.org/viewmasterdocument/542
</t>
  </si>
  <si>
    <t>NGO consortium</t>
  </si>
  <si>
    <t>SPLM-United/Operation Lifeline Sudan Agreement on Ground Rules</t>
  </si>
  <si>
    <t>Libya</t>
  </si>
  <si>
    <t>LIB</t>
  </si>
  <si>
    <t>Nuba Mountains</t>
  </si>
  <si>
    <t>The Swiss Special Envoy for Conflict Issues, Josef Bucher, helped to negotiate and bore witness to the signing of the Nuba Mountains Ceasefire Agreement on Sudan on 19th January. Bucher was also mandated to seek humanitarian resolutions in the Sudan conflict.</t>
  </si>
  <si>
    <t>https://www.peaceagreements.org/viewmasterdocument/470</t>
  </si>
  <si>
    <t>https://sudantribune.com/article41300/</t>
  </si>
  <si>
    <t xml:space="preserve">https://www.peaceagreements.org/view/470/Nuba%20Mountains%20Ceasefire%20Agreement%20on%20Sudan
</t>
  </si>
  <si>
    <t>https://www.swissinfo.ch/eng/swiss-backed-ceasefire-keeps-peace-in-sudan/2826176</t>
  </si>
  <si>
    <t xml:space="preserve">The US ambassador, Col. Cecil Dennis Giddens, bore witness to the signing of the Nuba Mountains Ceasefire Agreement on Sudan on 19th January. The US envoy also facilitated and participated in negotiations towards the ceasefire and was also mandated to seek humanitarian solutions to the Sudan crisis. </t>
  </si>
  <si>
    <t xml:space="preserve">https://www.peaceagreements.org/view/470/Nuba%20Mountains%20Ceasefire%20Agreement%20on%20Sudan
</t>
  </si>
  <si>
    <t>IGAD’s Special Envoy to the Sudan Peace Process, Lt. Gen. Lazaro K. Sumbeiywo, witnessed the signing of the agreement, Memorandum of Understanding between the Government of the Sudan and the Sudan People's Liberation Movement/Army on Aspects of Structures of Government. IGAD also played a key role at the The Nuba Mountains and Southern Blue Nile Civil Society Forum and Kampala Civil Society Conference, as well as the negotiation and drafting of the Comprehensive Peace Agreement, which included a reinvigoration of the Sudan peace process led by IGAD with the Machakos Agreement.</t>
  </si>
  <si>
    <t>https://www.peaceagreements.org/viewmasterdocument/453</t>
  </si>
  <si>
    <t>https://www.peaceagreements.org/viewmasterdocument/451</t>
  </si>
  <si>
    <t>https://www.peaceagreements.org/view/440/Machakos%20Protocol</t>
  </si>
  <si>
    <t>https://www.peaceagreements.org/view/451/Memorandum%20of%20Understanding%20between%20the%20Government%20of%20the%20Sudan%20and%20the%20Sudan%20People's%20Liberation%20Movement/Army%20on%20Aspects%20of%20Structures%20of%20Government</t>
  </si>
  <si>
    <t>Arab League</t>
  </si>
  <si>
    <t>The Arab League's Arab Cooperation Department led a delegation to southern Sudan to engage the SPLM in informal talks about peace and remaining unified with Sudan.</t>
  </si>
  <si>
    <t>https://www.arabnews.com/node/231503</t>
  </si>
  <si>
    <t>The Arab league also sought greater engagement in the IGAD-led Sudan peace talks.</t>
  </si>
  <si>
    <t>The Arab League observes its first round of Sudan peace talks in November 2003.</t>
  </si>
  <si>
    <t>https://sudantribune.com/article1633/</t>
  </si>
  <si>
    <t>https://www.peaceagreements.org/view/461/Addendum%20to%20the%20Memorandum%20of%20Understanding%20on%20Cessation%20of%20Hostilities%20between%20the%20Govt%20of%20Sudan%20and%20the%20Sudan%20People's%20Liberation%20Movement/Army</t>
  </si>
  <si>
    <t>https://www.peaceagreements.org/viewmasterdocument/461</t>
  </si>
  <si>
    <t>https://www.peaceagreements.org/view/275/Agreement%20on%20Security%20Arrangements%20during%20the%20Interim%20Period</t>
  </si>
  <si>
    <t>negotiating and drafting</t>
  </si>
  <si>
    <t>Chadian president, Idriss Deby, oversaw the proceedings that led to the Darfur Ceasefire, signed by members of the Government of Sudan in Khartoum, the Sudanese Liberation Army, and the Chadian Minister of Public Security and Migration, Mr. ‘Abd al-Rahman Musa.</t>
  </si>
  <si>
    <t>https://www.peaceagreements.org/view/1812/Darfur%20Ceasefire%20(GoS/SLM/A),%20Abeche</t>
  </si>
  <si>
    <t>https://www.wiltonpark.org.uk/wp-content/uploads/darfur-overview-summary.pdf</t>
  </si>
  <si>
    <t>https://academic.oup.com/british-academy-scholarship-online/book/37560/chapter/331815792</t>
  </si>
  <si>
    <t>"The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CORRECTION: the documents were signed in Addis Ababa</t>
  </si>
  <si>
    <t>https://www.peaceagreements.org/viewmasterdocument/92</t>
  </si>
  <si>
    <t>https://www.peaceagreements.org/wview/91/Protocol%20between%20the%20Government%20of%20Sudan,%20SLM/A%20and%20the%20JEM%20on%20the%20Improvement%20of%20the%20Humanitarian%20Situation%20in%20Darfur</t>
  </si>
  <si>
    <t>https://reliefweb.int/report/sudan/protocol-between-govt-sudan-slma-and-justice-and-equality-movement-enhancement-security</t>
  </si>
  <si>
    <t>https://reliefweb.int/report/sudan/sudan-agreement-wealth-sharing-during-pre-interim-and-interim-period</t>
  </si>
  <si>
    <t>https://www.peaceagreements.org/wview/385</t>
  </si>
  <si>
    <t>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 The Kenyan cities of Nairobi and Naivasha played hosts to the Sudanese and South Sudanese peace negotiations across 2004 and into 2005, including for talks culminating in the Declaration on the Conclusion of IGAD Negotiations on Peace in the Sudan. Nairobi hosted talks, which culminated in the Nairobi Declaration on the Final Phase of the IGAD-led negotiations on Peace in Sudan. 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t>
  </si>
  <si>
    <t>Dr. Jan Pronk, Special Representative of the Secretary-General of the United Nations bore witness to the Declaration on the Conclusion of IGAD Negotiations on Peace in the Sudan.</t>
  </si>
  <si>
    <t>Declaration on the Conclusion of IGAD Negotiations on Peace in the Sudan</t>
  </si>
  <si>
    <t>https://www.peaceagreements.org/view/362/Declaration%20on%20the%20Conclusion%20of%20IGAD%20Negotiations%20on%20Peace%20in%20the%20Sudan</t>
  </si>
  <si>
    <t>https://www.peaceagreements.org/viewmasterdocument/362</t>
  </si>
  <si>
    <t>https://reliefweb.int/report/sudan/declaration-conclusion-igad-negotiations-peace-sudan-0</t>
  </si>
  <si>
    <t>Algeria</t>
  </si>
  <si>
    <t>Angola</t>
  </si>
  <si>
    <t>Benin</t>
  </si>
  <si>
    <t>Brazil</t>
  </si>
  <si>
    <t>Pakistan</t>
  </si>
  <si>
    <t>Philippines</t>
  </si>
  <si>
    <t>Romania</t>
  </si>
  <si>
    <t>Spain</t>
  </si>
  <si>
    <t>ALG</t>
  </si>
  <si>
    <t>ANG</t>
  </si>
  <si>
    <t>BEN</t>
  </si>
  <si>
    <t>BRA</t>
  </si>
  <si>
    <t>PAK</t>
  </si>
  <si>
    <t>PHI</t>
  </si>
  <si>
    <t>RUM</t>
  </si>
  <si>
    <t>SPN</t>
  </si>
  <si>
    <t>IGAD; UN</t>
  </si>
  <si>
    <t>https://www.peaceagreements.org/view/362</t>
  </si>
  <si>
    <t>Ambassador Abdallah Baali, Permanent Representative of Algeria to the United Nations was present at the signing of the Declaration on the Conclusion of IGAD Negotiations on Peace in the Sudan.</t>
  </si>
  <si>
    <t>Ambassador Ismael Gaspar Martins, Permanent Representative of Angola to the United Nations was present at the signing of the Declaration on the Conclusion of IGAD Negotiations on Peace in the Sudan.</t>
  </si>
  <si>
    <t>Ambassador Joel Adechi, Permanent Representative of Benin to the United Nations was present at the signing of the Declaration on the Conclusion of IGAD Negotiations on Peace in the Sudan.</t>
  </si>
  <si>
    <t>Ambassador Ronaldo Sardenberg, Permanent Representative of Brazil to the United Nations was present the signing of the Declaration on the Conclusion of IGAD Negotiations on Peace in the Sudan.</t>
  </si>
  <si>
    <t>Ambassador Jean-Marc de La Sablière, Permanent Representative of France to the United Nations was present at the signing of the Declaration on the Conclusion of IGAD Negotiations on Peace in the Sudan.</t>
  </si>
  <si>
    <t>Ambassador Gunter Pleuger, Permanent Representative of Germany to the United Nations was present at the signing of the Declaration on the Conclusion of IGAD Negotiations on Peace in the Sudan.</t>
  </si>
  <si>
    <t>Ambassador Munir Akram, Permanent Representative of Pakistan to the United Nations was present at the signing of the Declaration on the Conclusion of IGAD Negotiations on Peace in the Sudan.</t>
  </si>
  <si>
    <t>Ambassador Lauro Baja, Jr, Permanent Representative of the Philippines to the United Nations was present at the signing of the Declaration on the Conclusion of IGAD Negotiations on Peace in the Sudan.</t>
  </si>
  <si>
    <t>Ambassador Mihnea Motoc, Permanent Representative of Romania to the United Nations was present the signing of the Declaration on the Conclusion of IGAD Negotiations on Peace in the Sudan.</t>
  </si>
  <si>
    <t>Ambassador Andrey Denisov, Permanent Representative of the Russian Federation to the United Nations was present the signing of the Declaration on the Conclusion of IGAD Negotiations on Peace in the Sudan.</t>
  </si>
  <si>
    <t>Ambassador Juan Antonio Yáñez-Barnuevo, Permanent Representative of Spain to the United Nations was present at the signing of the Declaration on the Conclusion of IGAD Negotiations on Peace in the Sudan.</t>
  </si>
  <si>
    <t>Ambassador Emyr Jones Parry, Permanent Representative of the United Kingdom to the United Nations was present at the signing of the Declaration on the Conclusion of IGAD Negotiations on Peace in the Sudan.</t>
  </si>
  <si>
    <t>Ambassador John Danforth, Permanent Representative of the United States to the United Nations was present at the signing of the Declaration on the Conclusion of IGAD Negotiations on Peace in the Sudan.</t>
  </si>
  <si>
    <t>https://reliefweb.int/report/sudan/agreement-permanent-ceasefire-and-security-arrangements-implementation-modalities</t>
  </si>
  <si>
    <t>The African Union and Chad co-mediated talks to end the Darfur conflict, which escalated in 2003.</t>
  </si>
  <si>
    <t>https://2001-2009.state.gov/r/pa/prs/ps/2004/31271.htm</t>
  </si>
  <si>
    <t>The EU participated in the mediation effort the resulted in the N'djamena Humanitarian Ceasefire Agreement.</t>
  </si>
  <si>
    <t>https://www.peaceagreements.org/view/90</t>
  </si>
  <si>
    <t>https://www.peaceagreements.org/viewmasterdocument/1060</t>
  </si>
  <si>
    <t>https://ucdpged.uu.se/peaceagreements/fulltext/Sud%2020050705.pdf</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</si>
  <si>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t>
  </si>
  <si>
    <t>https://sudantribune.com/article9678/</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</si>
  <si>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 Chad was a central mediator to the negotiations over Darfur.</t>
  </si>
  <si>
    <t>Representatives from IGAD not only bore witness to the signing of the Naivasha Comprehensive Peace Agreement, but also facilitated the talks that led to the agreement.</t>
  </si>
  <si>
    <t>https://www.peaceagreements.org/viewmasterdocument/337</t>
  </si>
  <si>
    <t>https://www.peaceagreements.org/view/337/Comprehensive%20Peace%20Agreement%20between%20the%20Government%20of%20the%20Republic%20of%20the%20Sudan%20and%20the%20Sudan%20People's%20Liberation%20Army/Sudan%20People's%20Liberation%20Movement%20(Naivasha%20Agreement)</t>
  </si>
  <si>
    <t>https://carnegieendowment.org/2011/01/04/comprehensive-peace-agreement-pub-42223</t>
  </si>
  <si>
    <t>https://www.files.ethz.ch/isn/119686/2005_Naivasha_E.pdf</t>
  </si>
  <si>
    <t>https://reliefweb.int/report/sudan/comprehensive-peace-agreement-between-government-republic-sudan-and-sudan-peoples</t>
  </si>
  <si>
    <t>The Comprehensive Peace Agreement (Naivasha Agreement)</t>
  </si>
  <si>
    <t>The Naivasha Comprehensive Peace Agreement was signed under the auspices of the Kenyan government.</t>
  </si>
  <si>
    <t>https://unmis.unmissions.org/comprehensive-peace-agreement</t>
  </si>
  <si>
    <t>Egyptian Minister of Foreign Affairs, H.E. Mr. Ahmed Aboul Gheit, was a witness to the Naivasha  Comprehensive Peace Agreement on behalf of the Government of the Republic of Egypt.</t>
  </si>
  <si>
    <t>https://reliefweb.int/report/sudan/sudan-dr-garand-says-cairo-agreement-completion-naivasha-peace-agreement</t>
  </si>
  <si>
    <t xml:space="preserve">Deputy Minister for Foreign Affairs, Senator Alfredo Mantica, was a witness to the Naivasha  Comprehensive Peace Agreement on behalf of the on behalf of the Government of Italy. Italy also facilitated the negotiations that led to the agreement’s ratification. </t>
  </si>
  <si>
    <t>Netherlands</t>
  </si>
  <si>
    <t>NTH</t>
  </si>
  <si>
    <t>Special Envoy of the Netherlands, H.E. Mr. Fred Racka, was a witness to the Naivasha Comprehensive Peace Agreement on behalf of the Royal Kingdom of the Netherlands.</t>
  </si>
  <si>
    <t>Minister of International Development, H.E. Ms. Hilde F. Johnson, was a witness to the Naivasha  Comprehensive Peace Agreement on behalf of the Royal Norwegian Government. Norway also facilitated the negotiations that led to the agreement’s ratification.</t>
  </si>
  <si>
    <t>Secretary of State for International Development, Right Hon. Hilary Benn, M.P., was a witness to the Naivasha Comprehensive Peace Agreement on behalf of the United Kingdom and Northern Ireland. The UK also facilitated the negotiations that led to the agreement’s ratification.</t>
  </si>
  <si>
    <t>United States Secretary of State, Mr. Colin L. Powell, was a witness to the Naivasha Comprehensive Peace Agreement on behalf of the United States of America. The USA also facilitated the negotiations that led to the agreement’s ratification.</t>
  </si>
  <si>
    <t>Chairperson of the African Union, H.E. Mr. Alpha Oumar Konare, was a witness to the Naivasha Comprehensive Peace Agreement on behalf of the African Union.</t>
  </si>
  <si>
    <t>Minister of Development Co-operation of Netherlands, Hon. Charles Goerens, was a witness to the Naivasha Comprehensive Peace Agreement on behalf of the European Union.</t>
  </si>
  <si>
    <t>Secretary General of the League of Arab States, H.E. Mr. Amre Mousse, was a witness to the Naivasha Comprehensive Peace Agreement on behalf of the League of Arab States.</t>
  </si>
  <si>
    <t>IPF</t>
  </si>
  <si>
    <t>Minister of International Development on behalf of the IGAD Partners Forum (IPF), H.E. Ms. Hilde F. Johnson, and Deputy Minister for Foreign Affairs, Senator Alfredo Mantic, were witnesses to the Naivasha Comprehensive Peace Agreement on behalf of the IGAD Partners Forum (IPF).</t>
  </si>
  <si>
    <t>Special Representative of the UN Secretary General in the Sudan, H.E. Jan Pronk, was a witness to the Naivasha Comprehensive Peace Agreement on behalf of the United Nations</t>
  </si>
  <si>
    <t>The term 'other' refers to to the attempt at mediation.</t>
  </si>
  <si>
    <t xml:space="preserve">The term 'other' refers to the establishment of the AU High-Level Implementation Panel for Sudan </t>
  </si>
  <si>
    <t>The term 'other' refers to Qatar's attempt to initiate negotiations.</t>
  </si>
  <si>
    <t>https://www.securitycouncilreport.org/atf/cf/%7B65BFCF9B-6D27-4E9C-8CD3-CF6E4FF96FF9%7D/Sudan%20S%202009%20100.pdf</t>
  </si>
  <si>
    <t>The AU-UN chief mediator Djibril Bassolé was witness to the Declaration of Goodwill and Confidence-Building Agreement.</t>
  </si>
  <si>
    <t>The term 'other' refers to Chad's attempts at rapprochement with Sudan.</t>
  </si>
  <si>
    <t>The term 'other' refers to UNAMID's hosting of a roundtable about the implementation of the DPA.</t>
  </si>
  <si>
    <t>Framework Agreement between the Government of Sudan and the Justice and Equality Movement</t>
  </si>
  <si>
    <t>https://unamid.unmissions.org/sites/default/files/ddpd_english.pdf</t>
  </si>
  <si>
    <t>Doha Document for Peace in Darfur</t>
  </si>
  <si>
    <t>The term 'other' refers to the break-down of negotiations.</t>
  </si>
  <si>
    <t>https://www.hmd.org.uk/resource/14-july-2011-government-of-sudan-and-the-liberation-and-justice-movement-sign-the-doha-accord/</t>
  </si>
  <si>
    <t>https://reliefweb.int/report/sudan/darfur-rebels-fail-agree-joint-positions-remaining-issues-doha-talks</t>
  </si>
  <si>
    <t>After many rounds of negotiations in Doha in 2010 and 2011, and two and a half years of negotiations, major parties to the Darfur conflict, namely the Khartoum government and the The Liberation and Justice Movement (LJM), signed the Doha Document for Peace in Darfur (DDPD). The JEM joined the agreement in January 2013.</t>
  </si>
  <si>
    <t>https://reliefweb.int/report/sudan/darfur-peace-process-updated-february-2011</t>
  </si>
  <si>
    <t>After Qatar offered to open talks up to more rebel groups in Darfur, a splinter group of the JEM stated that it would join negotiations in October 2012. Qatar offered financial incentives geared towards development in Darfur to incentivise rebels' greater cooperation and participation in peace talks.</t>
  </si>
  <si>
    <t>https://www.reuters.com/article/ozatp-sudan-darfur-qatar-20121024-idAFJOE89N00720121024</t>
  </si>
  <si>
    <t>https://ucdpged.uu.se/peaceagreements/fulltext/SUD%2020110628.pdf</t>
  </si>
  <si>
    <t>https://reliefweb.int/report/sudan/agreement-between-government-republic-sudan-and-sudan-peoples-liberation-movement</t>
  </si>
  <si>
    <t>https://www.peaceagreements.org/viewmasterdocument/1371</t>
  </si>
  <si>
    <t>Agreement between the Government of the Sudan and Government of Southern Sudan on Border Security and the Joint Political and Security Mechanism</t>
  </si>
  <si>
    <t>The term 'other' refers to the UN's support of the mediation process.</t>
  </si>
  <si>
    <t>https://www.peaceagreements.org/view/1374</t>
  </si>
  <si>
    <t>https://ucdpged.uu.se/peaceagreements/fulltext/SD_120927_Cooperation%20Agreement%20between%20Sudan%20and%20South%20Sudan.pdf</t>
  </si>
  <si>
    <t>The Ethiopian Prime Minister, Haile Mariam Dessalegne, signed the Cooperation Agreement on 27 September 2012 as a witness to the agreement. Addis Ababa played host to these negotiations.</t>
  </si>
  <si>
    <t>https://www.peaceau.org/uploads/sudan-south-sudan-implementation-modalities-for-security-080313.pdf</t>
  </si>
  <si>
    <t>Implementation Modalities for Security Arrangements</t>
  </si>
  <si>
    <t>The term 'other' refers to the convening of meetings of the Joint Political and Security Mechanism.</t>
  </si>
  <si>
    <t>https://www.radiotamazuj.org/en/news/article/sudan-south-sudan-security-talks-underway-in-khartoum</t>
  </si>
  <si>
    <t>The term 'other' refers to the convening and supporting of meetings of the Joint Political and Security Mechanism.</t>
  </si>
  <si>
    <t>"In 2012, the African Union (AU) Peace and Security Council mandated the African Union’s High Level Implementation Panel (AUHIP) led by former South African President Thabo Mbeki to mediate between the Sudanese government and the Sudanese armed opposition. A first round of negotiations mediated by the AUHIP took solely place between the SPLM/A-North and the Government of the Sudan in Addis Ababa on 26 July 2012. These negotiations focused on political and security issues underlying the continuing conflict in Blue Nile and Southern Kordofan States. The talks were conducted indirectly via the AUHIP, with both sides setting preconditions for engaging in direct talks. The Government of the Sudan insisted that the SPLM/A-North would disengage from South Sudan, as well made it clear that it opposed the return to the Agreement of 28 June 2011.  On 16 September 2012, the AUHIP submitted a draft proposal for a political solution based on the Agreement of 28 June 2011, reflecting views of the conflict parties and the “changed circumstances and current realities on the ground.”  Neither party accepted this agreement."</t>
  </si>
  <si>
    <t>"In November 2011, the SPLM/A-north, SLM/A, SLM/A-MM, and JEM formed a new rebel coalition: the Sudanese Revolutionary Army (SRF). The rebel groups declared to collectively fight to topple the Sudanese Government. The SRF was supported by the Government of South Sudan.  In 2012, the African Union (AU) Peace and Security Council mandated the African Union’s High Level Implementation Panel (AUHIP) led by former South African President Thabo Mbeki to mediate between the Government of Sudan and the SRF. Indirect negotiations between the SRF and the Government of Sudan were mediated the AUHIP. These negotiations led to the signing of on an agreement to allow humanitarian assistance in rebel-controlled areas of South Kordofan and Blue Nile on 4 August 2012. Yet, the agreement did not address the conflict issues."</t>
  </si>
  <si>
    <t>https://reliefweb.int/report/sudan/sudan-rebels-sign-humanitarian-deal-south-kordofan-and-blue-nile</t>
  </si>
  <si>
    <t>The term 'other' refers to the convening of a summit.</t>
  </si>
  <si>
    <t>The African Union supported the meeting between the leaders of Sudan and South Sudan.</t>
  </si>
  <si>
    <t>https://sudantribune.com/article45366/</t>
  </si>
  <si>
    <t>The term 'other' refers to the AU's establishment of a mechanism to investigate accusations of the two governments' support of rebels.</t>
  </si>
  <si>
    <t>"The AUHIP’s mediation efforts in 2013 mainly focused on negotiations between the Government of Sudan and JEM. A round of negotiations mediated by the AUHIP led to the conclusion of a ceasefire on 10 February 2013."</t>
  </si>
  <si>
    <t>"Another round of AU-mediated negotiations in March 2013 led to Protocol on the Participation of JEM-Sudan at the different levels of Government and on the Integration of its Forces on 29 March 2013."</t>
  </si>
  <si>
    <t>https://allafrica.com/stories/201304010329.html</t>
  </si>
  <si>
    <t>https://www.peaceagreements.org/view/876</t>
  </si>
  <si>
    <t>"Another round of AU-mediated negotiations in April 2013 led to the Agreement between the Government of Sudan and the Justice and Equality Movement-Sudan on the Basis of the Doha Document for Peace in Darfur (DDPD) on 6 April 2013. This last agreement was based on the DDPD and all its annexes, as well as stipulated additional power-sharing and wealth-sharing provisions. The agreement also stipulated compensation and return of IDPs and refugees and included a permanent ceasefire."</t>
  </si>
  <si>
    <t>https://www.peaceagreements.org/viewmasterdocument/875</t>
  </si>
  <si>
    <t xml:space="preserve">"The South Sudan Democratic Movement/Army (SSDM/A) - Cobra Faction has its roots in the SSDM/A, though it did not form as a splinter faction. The SSDM/A - Cobra Faction was established by David Yau Yau in 2013, a year after the SSDM/A forces had been integrated into the national army following mediation by the South Sudan Council of Churches. In 2011, the South Sudanese government had offered a presidential amnesty to Yau Yau and his fighters in return to their integration in the government army. However, this peace was short-lived and Yau Yau defected to Sudan in April 2012. Sudan’s National Intelligence and Security Services facilitated repeated airdrops of weapons and ammunition across different locations throughout 2012 and 2013. Yau Yau’s defection to Sudan escalated into a full-blown insurgency in 2013, with many Murle joining the rebellion in response to the government’s disarmament campaign. The government issued an ultimatum to respond to an amnesty on 5 June 2013. However, armed clashes between the conflict parties continued. Yau Yau and his Murle fighters objected to mediation by the South Sudan Council of Churches because Archbishop Daniel Deng being a Dinka Bor. In the first half of 2013, a mediation effort was conducted by a British defense contractor of AEGIS Defense Services (UK), James Ellery, hired by the South Sudanese government. This mediation effort was conducted in the first three months of 2013 and was aimed at initiating formal negotiations, but the mediation effort failed. UNMISS engaged the government, but also supported Ellery’s effort, providing both logistics and security. Ellery met with Yau Yau six time at various place in Pibor county, but Yau Yau did not agree to official negotiations. Governments forces launched a military operation on 5 March in spite of efforts by the UNMISS leadership to persuade the government to refrain from such an operation. In addition, UNMISS flew Ellery to Pibor county on 13 March to get Yau Yau’s consent to a 48-hour ceasefire, but this effort failed." </t>
  </si>
  <si>
    <t>The term 'other' refers to the support of UNMISS for James Ellery's mediation efforts.</t>
  </si>
  <si>
    <t>"The Ellery mediation effort was conducted in the first three months of 2013 and was aimed at initiating formal negotiations, but the mediation effort failed. UNMISS engaged the government, but also supported Ellery’s effort, providing both logistics and security."</t>
  </si>
  <si>
    <t>The term 'other' refers to Jame Ellery's attempts to initiate formal mediation and negotiations.</t>
  </si>
  <si>
    <t>The term 'other' refers to UNMISS's attempt to engage the Sudanese governments in negotiations.</t>
  </si>
  <si>
    <t>"A mediation attempt to initiate official negotiations by local Murle elites and interlocutors close to the Juba government on 19 and 20 May 2013 also failed."</t>
  </si>
  <si>
    <t>Local Murle elites</t>
  </si>
  <si>
    <t>The term 'other' refers to the Murle elites' attempts to initiate negotiations.</t>
  </si>
  <si>
    <t>The term 'other' refers to PAX's support of the Equatorian Church Leaders' mediation efforts.</t>
  </si>
  <si>
    <t>The term 'other' refers to Norwegian Church Aid's logistical support to the Equatorian Church Leaders' mediation efforts.</t>
  </si>
  <si>
    <t>The term 'other' refers to UNMISS's logistical support to the Equatorian Church Leaders' mediation efforts.</t>
  </si>
  <si>
    <t>"The AU mediated a round of peace talks between the SPLM-North and the Sudanese government on a political solution to the conflict from 23 to 27 April 2013, but these talks ended without agreement."</t>
  </si>
  <si>
    <t>"The SSDM/A led by Olony accepted a ceasefire and an amnesty by the government following mediation by the Shilluk reth (King) in June 2013. Negotiations on the terms of integrating the SSDM/A fighters into the national army subsequently continued in July and August 2013."</t>
  </si>
  <si>
    <t>"Negotiations on the terms of integrating the SSDM/A fighters into the national army subsequently continued in July and August 2013."</t>
  </si>
  <si>
    <t>"Following another round of negotiations in November 2013, President Kiir issued a decree on 25 November 2013 that confirmed the reintegration and commissioning of Major General Johnson Olony into the government forces. The SSDM/A remained loyal to the government until early 2015, when they defected to the SPLM/A-IO."</t>
  </si>
  <si>
    <t>Integration of rebel leaders into national army</t>
  </si>
  <si>
    <t>"The armed conflict between Sudan People’s Liberation Movement/Army - In Opposition (SPLM/A-IO) and the Government of South Sudan started in mid-December 2013, when two different factions within the Presidential guard clashed in Juba. One faction was loyal to President Salva Kiir, while the other faction was loyal to the former vice-president Riek Machar. Machar had been ousted from the government in July 2013. In mid-December, President Kiir accused Riek Machar of conducting a coup d’état, but this accusation later proved to be unsubstantiated. The accusation is widely seen as a pretext for crack down on Machar and pushing all Nuer troops out of Juba, after which Nuer civilians were targeted. Armed clashes between the conflict parties quickly spread to other areas, in particular to Bor, Malakal, and Bentiu. In response to the armed conflict, Salva Kiir also detained a group of eleven high-profile individuals, accusing them of conspiring with Riek Machar to overthrow the government. The political prisoners were all senior SPLM/A party members who had begun to openly criticize the president in 2013. This group has commonly been referred to as the “former detainees” after the first seven were released in January 2013 and the remaining four were released in in May 2014. As soon as the war broke out, Uganda intervened in the civil war in support of the South Sudanese government, while Sudan supported the SPLM/A-IO with weapons and ammunition. A delegation from the Inter-Governmental Authority on Development (IGAD), which had mediated an end to the civil war in Sudan in 2005, visited Juba between 19 to 21 December 2013 for pre-negotiations with President Kiir and other relevant stakeholders to obtain a first-hand understanding of the crisis, to explore possible ways to resolve the crisis, and to make the conflict parties agree on official negotiations. This IGAD delegation was supported by the UN and the AU."</t>
  </si>
  <si>
    <t>The term 'other' refers to the AU's support of IGAD's mediation efforts.</t>
  </si>
  <si>
    <t>The term 'other' refers to the UN's support of IGAD's mediation efforts.</t>
  </si>
  <si>
    <t>"On 26 December, a second IGAD delegation – led by the President of Kenya, Uhuru Kenyatta, and the Prime Minister of Ethiopia, Hailemariam Dessalegn – visited Juba for peace talks with the President of South Sudan, members of the Cabinet, and the detained a group of eleven high-profile individuals. The IGAD delegation also tried to further probe into the root causes of the conflict and discuss how best to address it. IGAD held an extraordinary summit in Nairobi on 27 December 2013, where three special envoys – Ambassador Seyoum Mesfin of Ethiopia, General Lazaro Sumbeiywo of Kenya, and General Mohamed Ahmed Mustapha al-Dabi of the Sudan – were appointed to support a resolution of the crisis."</t>
  </si>
  <si>
    <t>"The peace process between the government and the SSDM/A-Cobra Faction was brought to Addis Ababa in January 2014. This mediation effort was conducted by the South Sudanese Church Leaders Mediation Initiative (CLMI). Hizkias Assefa, an Ethiopian professor and mediator, acted as the chief mediator during this peace process. The conflict parties signed a ceasefire on 7 January 2014."</t>
  </si>
  <si>
    <t>"At the start of a round of negotiations on 25 February 2014, the Sudanese government accepted the draft framework agreement put forward by AUHIP to cease hostilities and deliver humanitarian aid to civilians in Sudan’s ‘Two Areas’ of Blue Nile and South Kordofan, but negotiations between the SPLM/A-N and the government were suspended on 2 March 2014 because the conflict parties disagreed on how the resolve the conflict."</t>
  </si>
  <si>
    <t xml:space="preserve">"The AU mediated another round of negotiations between the SPLM-North and the Government of Sudan on 22 April 2014, but this round of negotiations also failed." </t>
  </si>
  <si>
    <t>"On 27 January 2014, President al-Bashir announced the creation of a national dialogue to address Sudan’s political instability. On 31 January 2014, Sudan and Chad agreed to send special envoys to meet and encourage Darfur rebel groups that refused to sign a peace agreement with the Sudanese government, to engage in peace talks.  Several meetings were held throughout 2014 aimed at initiating a formal peace process between the Sudanese government and the SRF. The joint AU-UN Special Envoy, Mohamed Ibn Chambas, met with the SRF leadership in Kampala on 12 February 2014 to discuss the possibility of formal negotiations. To prepare for the national dialogue, the leaders of the SRF and the Umma Party, a Sudanese opposition party, decided to form an alliance at a meeting in Paris on 8 August 2014. They signed the Paris Declaration, calling for national dialogue."</t>
  </si>
  <si>
    <t>Darfur; Kordofan; Blue Nile</t>
  </si>
  <si>
    <t>https://reliefweb.int/report/sudan/west-darfur-displaced-hail-paris-declaration</t>
  </si>
  <si>
    <t>The UN and AU supported a meeting in Paris between the Sudan Revolutionary Front (SRF) and the National Umma Party (NUP), which culminated in the Paris Declaration.</t>
  </si>
  <si>
    <t>The Paris Declaration</t>
  </si>
  <si>
    <t>https://sudantribune.com/article50802/</t>
  </si>
  <si>
    <t>"On 1 September 2014, leaders of the SRF met with the chairman of the AU High Level Implementation Panel (AUHIP), Thabo Mbeki, in Addis Ababa to discuss the format of future negotiations. On the basis of this discussion, the African Union’s Peace and Security Council issued Communique 456 on 15 September 2014, which stipulated that government’s talks with the Darfuris and SPLM-North should be conducted in a synchronized manner, referred to as the “one process, two tracks” approach. This effectively focused the negotiations on reaching a ceasefire in both Darfur and the two areas, while simultaneously implementing the national dialogue that al-Bashir had announced in January 2014. The alliance between the SRF and the Umma Party forged in Paris in August was reiterated and extended to include other traditional political party leaders and civil society representatives on 3 December 2014, with the signing of the Sudan Call."</t>
  </si>
  <si>
    <t>"A round of AUHIP-mediated negotiations between the SRF and the Sudanese government started in Addis Abba on 12 November 2014. This round of negotiations consisted of two track. The SLM/A-MM and the JEM negotiated with the government on a ceasefire in Darfur (the SLM/A-AW boycotted this round of talks with the government), while the SPLM/A-North negotiated on a ceasefire in the two areas. This round of negotiations ended with the AU mediation team announcing on 9 December 2014 that the government delegation and the SPLM-North failed to agree on a ceasefire. The reason for this deadlock was that the SPLM/A-North had insisted on a comprehensive solution for Sudan entirely, while Khartoum insisted on a cessation of hostilities for the Blue Nile and South Kordofan only. What is more, the Sudanese government had already initiated what it referred to as a deceive summer campaign in South Kordofan on 1 December 2014."</t>
  </si>
  <si>
    <t>"IGAD began to mediate direct negotiations between the conflict parties in early 2014. Seyoum Mesfin, who had been the Ethiopian Minister of Foreign Affairs from 1991 until September 2010, was the chief mediator of the peace process. A first round of negotiations took place in Addis Ababa between 2 and 23 January 2014. These negotiations mainly focused on the conclusion of a ceasefire, as well as on the release of some political prisoners taken by the government. The mediation team led by Mesfin considered a ceasefire unlikely to hold unless underlying political grievances were addressed, but they deemed that a reduction in violence was necessary to create the space for substantial negotiations. Hence, the negotiations first focused on the conclusion of a ceasefire. The conflict parties signed a ceasefire on 23 January 2014, which took effect the next day.  The ceasefire committed the conflict parties to end offensive operations, freeze their forces in place, and refrain from attacks against civilians. The ceasefire also established a monitoring and verification mechanism."</t>
  </si>
  <si>
    <t>"The Sudanese Awakening Revolutionary Council (SARC) was established on 4 January 2014. The group was led by Musa Hilal, a chief of the Arab Mahamid tribe and former leader of the Janjaweed that conducted a massive counterinsurgency campaign against rebel groups in Darfur. In January 2014, Hilal defected from the Sudanese government. On 17 March 2014, President Omar al-Bashir sent a delegation to Darfur to negotiate with Musa Hilal. In late March 2014, Chad hosted peace talks between the conflict parties in the Chadian border town of Um Jaras, but this did not lead to an agreement. By late 2014, Hilal was running his own administration in North Darfur, with his troops controlling Saraf Umra town, Kutum town, Kabkabiya town, and the El Waha area. To this purpose, Hilal set up a council composed of native leaders to perform administrative and judicial functions in these areas. A tax system with various fees for vehicles travelling in their areas of control was also set up. SARC also profited from artisan gold mining in Jabal Amer."</t>
  </si>
  <si>
    <t>Agreement for a buffer zone with join units deployed for monitoring</t>
  </si>
  <si>
    <t>"On 7 July 2015, Secretary–General of the SPLM/A-N Yasir Arman stated that the SPLM/A-N would not continue peace negotiations from where the last round of AU-led peace talks stopped. On 3 August 2015, President Omar al-Bashir met with AU chief mediator Thabo Mbeki to discuss peace in Blue Nile and South Kordofan states. The meeting between Mbeki and al-Bashir did not lead to a new date for the resumption of negotiations on the two areas. The Government of Sudan and the SPLM-North engaged in direct negotiations mediated by the AU between 19 and 23 November 2015. This round of negotiations focused on security arrangements."</t>
  </si>
  <si>
    <t>"In December 2015, the Sudanese government and SPLM/A-North expressed to the AUHIP their willingness to sign a comprehensive agreement. An informal round of peace talks was subsequently held in Addis Ababa from 16 to 18 December 2015. However, this round of talks did not lead to an agreement, as the parties disagreed about whether the SPLM/A-North should be allowed to keep its troops. The conflict parties and the mediation team agreed to resume discussions in January 2016."</t>
  </si>
  <si>
    <t>"On 12 January 2015, the conflict parties signed another ceasefire in the IGAD-led mediation process, as well committed themselves to accelerate efforts to reach an agreement based on the formation of a transitional government."</t>
  </si>
  <si>
    <t>"Negotiations in Arusha  between 9 to 19 January 2015 brought together President Salva Kiir representing the SPLM/A-In Government, Rick Riek Machar representing the SPLM/A-In Opposition, and Deng Alor Kuol representing the SPLM/A-Former Detainees. John Samuel Malecela, the Vice Chairman of Tanzania’s ruling party the Chama Cha Mapinduzi (CCM), and Abdulrahman Kinana, the CCM General-Secretary, acted as the chief mediators at this round of negotiations in Arusha. The negotiations led to the signing of the Agreement on the Reunification of the Sudan People’s Liberation Movement (Arusha Agreement) on 21 January 2015."</t>
  </si>
  <si>
    <t>https://peacemaker.un.org/sites/peacemaker.un.org/files/SS_150121_ArushaAgreement.pdf</t>
  </si>
  <si>
    <t>"The South Sudanese government and the SPLM/A-IO met in Addis Ababa on 27 and 28 January 2015 for two days of  IGAD-mediated negotiations prior to the IGAD Head of States Summit on 29 January.  These negotiations focused on power-sharing. The IGAD mediation team proposed to make Riek Machar vice-president again, but keeping James Wani Igga as a second vice-president. Politicians from Equatoria expressed opposition to this proposal, asserting that Igga should hold a more senior position to Riek Machar in a future power-sharing agreement."</t>
  </si>
  <si>
    <t xml:space="preserve">"The conflict parties signed another ceasefire on 1 February 2015." </t>
  </si>
  <si>
    <t>"Another round of IGAD-led negotiations in Addis Abba started on 23 February 2015. Prior to the start of this round of negotiations, both the AU and IGAD threatened sanctions against South Sudan if a comprehensive power sharing deal is not reached by 5 March. One major disagreement during the negotiations was that the SPLM/A-IO demanded the creation of two separate armies in the country during the transitional period, with the SPLM/A-IO fighters being officially recognized as a separate army. The negotiations broke down on 6 March 2015."</t>
  </si>
  <si>
    <t xml:space="preserve">"On 27 June 2015, President Salva Kiir and SPLM/A-IO leader Riek Machar conducted a consultative meeting in Nairobi under the auspices of President Kenyatta of Kenya to review elements of the proposed peace agreement." </t>
  </si>
  <si>
    <t>"The IGAD mediation effort resumed in June, but was officially reconfigured as “IGAD Plus” in June 2015, expanding the mediation team to also include representatives from five African Union member states, the UN, the Troika (US, UK, and Norway), the EU, and China. A new round of negotiations was initiated in Addis Ababa on 9 June 2015. This round of negotiations ended on 25 June, with agreement that the IGAD mediation would circulate a “compromise agreement” in July, which was the product of negotiations and consultations since January 2014."</t>
  </si>
  <si>
    <t>"The mediation team indeed circulated the draft of this agreement after another round of negotiations in Addis Ababa from 21 to 23 July 2015. The third parties subsequently put a lot of pressure on the conflict parties to accept this agreement."</t>
  </si>
  <si>
    <t>The term 'other' refers to the holding of a summit.</t>
  </si>
  <si>
    <t>"At a new round of negotiations that had started with a summit in Addis Ababa on 27 July chaired by President Barack Obama, it was decided that the conflict parties would have until 17 August 2015 to sign a final peace agreement. Several amendments were subsequently negotiated on the basis of the draft agreement. For instance, the conflict parties agreed that the deadline for the complete integration of the SPLM/A-IO forces into the national army would be within 30 months of signing of the agreement, instead of the 18 months proposed by the mediators."</t>
  </si>
  <si>
    <t>"Both Riek Machar and a representative of the former detainees signed the Agreement on the Resolution of the Conflict in the Republic of South Sudan (ARCSS) in Addis Ababa on 17 August 2015. However, Salva Kiir indicated he was not ready to sign the agreement. The mediation team subsequently gave him and his negotiation team two additional weeks to return to Juba and secure support for the deal. Following this decision, the US introduced a draft resolution in the UN Security Council which threatened an arms embargo and targeted sanctions against South Sudan if the government failed to sign the agreement deal. Nine days later, Kiir signed the agreement at a ceremony in Juba in the presence of IGAD leaders. In October 2015, a Joint Monitoring and Evaluation Commission (JMEC), consisting of members of the conflict parties and IGAD Plus, was set up to oversee the implementation of the agreement. IGAD appointed the former president of Bostwana Festus Mogae to head JMEC. In late October, the top military commanders of the government forces and the SPLM/A-IO attended a five-day workshop held in Addis Ababa to discuss security arrangements associated with the implementation of the peace agreement."</t>
  </si>
  <si>
    <t>The term 'other' refers to the establishment of the Joint Monitoring and Evaluation Commission (JMEC).</t>
  </si>
  <si>
    <t>The term 'other' refers to the USA's drafting of a UNSC resolution (this has also been indicated in the 'manipulating' variable) and the establishment of the Joint Monitoring and Evaluation Commission (JMEC).</t>
  </si>
  <si>
    <t>Rwanda</t>
  </si>
  <si>
    <t>RWA</t>
  </si>
  <si>
    <t>Djibouti</t>
  </si>
  <si>
    <t>Somalia</t>
  </si>
  <si>
    <t>DJI</t>
  </si>
  <si>
    <t>SOM</t>
  </si>
  <si>
    <t>"Another round of IGAD-led negotiations led to the signing of the Outcome of the Meeting of the Principal Signatory Parties to the Agreement on Planning Implementation of the provisions in Chapter II of the Agreement on 3 November 2015. This Agreement concerns the details on the implementation of the Transitional Government of National Unity (TGONU) and the Transitional National Assembly (TNA), as well as the adoption of the transitional constitution. The agreement also specified that the SPLM/A-IO was allowed to deploy 1,410 security personel in Juba and the government 3,420 security personnel."</t>
  </si>
  <si>
    <t xml:space="preserve">"On 5 April 2014, Chadian President Idris Deby met the Chairman of JEM, Jibril Ibrahim, in Paris to discuss a roadmap for official negotiations. The JEM and the SLM/A-MM on the one side and the government on the other side held informal discussions, mediated by the AU, in the Ethiopian town of Debre Zeit on 23 January 2016." </t>
  </si>
  <si>
    <t>"The Darfur Joint Resistance Forces is a coalition comprised of the SLM/A, SLM/A-MM, and the Sudan Liberation Movement for Justice (SLMJ). It was established in 2014. Taher Hajar was the leader of SLMJ until his killing during clashes in June 2014, with Ali Karbino serving as military leader for the SLMJ. The SLM/A and the SLM/A-MM maintained their membership with the SRF in spite of also joining the Darfur Joint Resistance Forces. The Darfur Joint Resistance Forces mainly operated in the northern part of Darfur.  Between 2 and 4 June 2016, US and Chadian diplomats held shuttle talks with representatives from the SLMJ and Sudanese government representatives in Chad. The shuttle talks were aimed at finding a way in which SLMJ could join the Doha Document for Peace in Darfur (DDPD)."</t>
  </si>
  <si>
    <t>"In November 2011, the SPLM/A-north, SLM/A, SLM/A-MM, and JEM formed a new rebel coalition: the Sudanese Revolutionary Army (SRF). The rebel groups declared to collectively fight to topple the Sudanese Government. The UCDP assigns some armed clashes to the SLM/A-MM and some to the SRF from 2011 onwards. Accordingly, any peace efforts only involving the SLM/A-MM are listed here, while peace efforts involving the SRF are listed under that dyad.  The JEM and the SLM/A-MM on the one side and the government on the other side held informal discussions, mediated by the AU, in the Ethiopian town of Debre Zeit on 23 January 2016."</t>
  </si>
  <si>
    <t>"The government’s military, summer campaign in South Kordofan continued until mid-January 2015 and was extended to Blue Nile in February 2015. In addition, the Sudanese government refused to attend a preparatory meeting for the national dialogue that the AUHIP had wanted to facilitate in Addis Ababa on 29 and 30 March 2015. This effectively ended the SRF’s participation in the national dialogue. On 24 August 2015, the Sudanese government announced a two-month ceasefire with the SRF, which could be extended if progress is made in negotiations.  The ceasefire applied to both Darfur and the Blue Nile and South Kordofan. The SRF agreed to the ceasefire and also indicated it was ready resume negotiations with the government without further delay. On 14 September 2015, the SRF leadership announced that it was ready to sign a six-month cessation of hostilities agreement with the Sudanese government. The SRF further called on the government to “engage in a comprehensive dialogue.” In January 2016, the SRF leadership met with the Qatari deputy prime minister in Paris to discuss the possibility of official peace negotiations"</t>
  </si>
  <si>
    <t>"In addition, informal negotiations between the SRF and the Sudanese government were held in Berlin between 22 and 24 January 2016."</t>
  </si>
  <si>
    <t xml:space="preserve">"Another round of negotiations between the Sudanese government and the SRF took place in leadership in Addis Ababa between 19 and 21 March. Based on this round of talks, the AU mediators drew up a roadmap agreement for the conflict parties’ consideration. The Sudanese government signed the roadmap agreement on 21 March 2016, but the SRF refused to sign the roadmap. Subsequent third party efforts were aimed at making the SRF accept the roadmap." </t>
  </si>
  <si>
    <t>"On 17 June 2016, Donald Booth, the US special envoy to Sudan and South Sudan, met with representatives of the JEM and the SLM/A-MM, as well as representatives from the National Umma Party, in Addis Ababa. Booth tried to persuade the JEM and the SLM/A-MM representatives to sign the roadmap agreement."</t>
  </si>
  <si>
    <t>"The conflict parties started another round of AU-mediated negotiations in mid-August 2016. These negotiations were supposed to focus on implementing the roadmap agreement, but the AUHIP declared the collapse of Darfur and Two Areas Ceasefire talks on 15 August 2016, blaming the JEM and the SLM/A-MM for introducing new demands on issues that had previously been agreed and which contradicted the roadmap agreement. The mediation team therefore postponed the negotiations indefinitely."</t>
  </si>
  <si>
    <t>"Another round of negotiations between the Government of Sudan and the SRF in Addis Abba in early August 2016 made some progress. On 8 August 2016, the SRF accepted and signed the roadmap agreement put forward by the AU on 21 March 2016. The roadmap stipulates a ceasefire, as well as outlined a framework for negotiations on the conflicts in Darfur and the two areas of Southern Kordofan and Blue Nile."</t>
  </si>
  <si>
    <t>"A government attack on the SPLM/A-North in Aroum on 23 January 2016 led SPLM/A-North officials to publicly question the government’s commitment to establishing peace. In late 2016, the AUHIP called upon the SPLM/A-North to review their positions on the talks on the Two Areas. The SPLM/A-N insisted on a provision allowing humanitarian access through Asosa in Ethiopia, but the Sudanese government rejected such a provision. In March 2017, the Sudan People’s Liberation Movement/Army-North (SPLM/A-N) split into two factions, resulting in several clashes. While there were many calls to engage in negotiations throughout 2017 and 2018, the conflict parties did not engage in peace talks. The split was a result of long-simmering ethnic and political–military tensions within the SPLM/A-N in Blue Nile. While the Uduk, Berta, and Burun had made up the majority of the SPLM/A’s 10th Division during war between the SPLM/A and the Sudanese government between 1983 and 2005, members of the Ingessana tribe assumed increasingly more power within the rebel group from 2012 onwards. This led to widespread dissatisfaction among the non-Ingessana tribes. Tensions were temporarily put on hold due to intense fighting between the SPLM/A-N and government forces throughout 2015-2016, but following a unilateral ceasefire issued by the Sudanese government on 18 June 2016 tensions escalated. In March 2017, SPLM/A-N deputy chairman Abdelaziz al-Hilu publicly released a resignation letter. Abdelaziz al-Hilu accused Agar of not fully representing the entire SPLM/A-N movement in the peace process led by the AU, particularly with regard to the issue of self-determination of the Nuba Mountains. Al-Hilu’s letter essentially forced the members of the SPLM/A-N to choose between himself and chairman Malik Agar of the Ingessana tribe. The Nuba Mountains Liberation Council (NMLC) subsequently passed resolutions that removed Arman as the SPLM/A-N’s lead negotiator with African Union High-Level Implementation Panel (AUHIP), as well as put the NMLC in power of both South Kordofan and Blue Nile. Moreover, many senior non-Ingessana leaders began to publicly voice support for al-Hilu and the NMLC. In April 2017, almost all of the non-Ingessana Blue Nile Liberation Council (BNLC) members declared their support for the NMLC decision to dismiss Arman as the SPLM/A-N AUHIP lead negotiator. Accordingly, although the deputy chairman Abdelaziz al-Hilu broke away from the rebel group led by chairman Malik Agar, the UCDP codes the SPLM/A-N led by Malik Agar (SPLM/A-N-MA) as the splinter faction because he was endorsed by the NMLC and most of the BNLC.  Preparations for official negotiations between the SPLM/A-North and the Sudanese government continued in spite of this split. SPLM/A-North representatives met with mediators from the AUHIP in Addis Ababa in late August 2017. In late September 2017, Intergovernmental Authority on Development (IGAD) special envoy for Sudan, Lesane Johannes, discussed details for the resumption of formal peace talks between the SPLM-North and the government with Sudanese Presidential adviser Ibrahim Mahmoud. However, these pre-negotiations did not lead to formal negotiations between the SPLM-North and the Government of Sudan were held in 2017."</t>
  </si>
  <si>
    <t xml:space="preserve">"The ARCSS included a political power-sharing provision. To this purpose, Machar returned to Juba in April 2016. However, problems with the implementation of the ARCSS were already apparent prior to Machar’s return. Kiir had cast aside the power-sharing formula of the ARCSS in October 2015 through creating 28 states instead of ten states. In addition, in violation to the agreement, Chief of Staff Paul Malong had secretly brought a Dinka militia to Juba. With tensions increasing, fighting between the conflict parties eventually resumed in July 2016. This effectively suspended the peace process. Following the clashes, President Kiir issued a decree on an immediate ceasefire in the country on 11 July 2016. Yet, fighting continued. Riek Machar subsequently fled to the Democratic Republic of Congo while under attack of ground forces and helicopter gunships. Taban Deng Gai sought the support of some disgruntled SPLM/A-IO generals, after which Kiir appointed Taban Deng Gai as the vice president, replacing Machar. Riek Machar was later put under house arrest in South Africa. However, most of the SPLM/A-IO remained loyal to Machar. JMEC chairman Festus Mogae reported in October 2016 that “near-daily violations” of the ceasefire by both parties, warning that these could 'trigger an uncontrolled escalation of violence.'"  </t>
  </si>
  <si>
    <t>"Building on the Arusha Agreement that had been concluded in January 2015, Ugandan President Yoweri Museveni mediated a round of negotiations between the three factions with the SPLM/A in July 2017. This round of negotiations involving the SPLM/A-In Government, the SPLM/A-IO, and the SPLM/A-Former Detainees led to the signing of the Entebbe Declaration on the Operationalization of the Arusha Agreement on the Reunification of the SPLM on 27 July 2017. This agreement established a working group to revitalize and operationalize the implementation of the Arusha Agreement, trying to reunify the SPLM/A. In addition. IGAD tried “revitalize” the peace process from mid-2017 onwards.  The IGAD leaders endorsed a plan to kick-start the peace process at the 31st Extra-ordinary Summit of IGAD Assembly of Heads of State on 12 June 2017. IGAD announced on 1  October 2017 that it would resume the formal peace process to bring peace to South Sudan."</t>
  </si>
  <si>
    <t>https://www.peaceagreements.org/view/1963</t>
  </si>
  <si>
    <t>https://www.peaceagreements.org/view/1690</t>
  </si>
  <si>
    <t>https://www.peaceagreements.org/wview/2112/Revitalised%20Agreement%20on%20the%20Resolution%20of%20the%20Conflict%20in%20the%20Republic%20of%20South%20Sudan%20(R-ARCSS)</t>
  </si>
  <si>
    <t>"In addition, Egypt and Uganda had mediated a round of negotiations in Cairo in November 2017 aimed at reunifying the SPLM/A. On 16 November 2017, representatives of the SPLM/A-In Government, the SPLM/A-IO, and the SPLM/A-Former Detainees signed the Cairo Declaration on the Reunification of the Sudan People’s Liberation Movement (SPLM)."</t>
  </si>
  <si>
    <t>"The revitalization forum, aimed at restarting peace talks, began in Addis Ababa on 18 December. This round of negotiations led to the conclusion of the Agreement on Cessation of Hostilities, Protection of Civilians and Humanitarian Access on 21 December 2017."</t>
  </si>
  <si>
    <t>iGAD</t>
  </si>
  <si>
    <t>Ghana</t>
  </si>
  <si>
    <t>GHA</t>
  </si>
  <si>
    <t>https://www.peaceagreements.org/wview/1966/Agreement%20on%20the%20Cessation%20of%20Hostilities,%20Protection%20of%20Civilians%20and%20Humanitarian%20Access,%20Republic%20of%20South%20Sudan</t>
  </si>
  <si>
    <t>"Building on the conclusion of the Cairo agreement, another round of negotiations involving the three factions within the SPLM/A was held in Entebbe in December 2017. These negotiations led to the conclusion of the Arusha Agreement on the SPLM Reunification Implementation Matrix on 15 December 2017."</t>
  </si>
  <si>
    <t>https://sudantribune.com/article61284/</t>
  </si>
  <si>
    <t>"A round of negotiations between the Sudanese government and JEM in February 2018, mediated by Qatar, led to the signing of a ceasefire on 11 February 2018. The ceasefire was signed by Mohamed Bashir Ahmed of the JEM-Military Command in Qatar.Following a massive popular uprising, President Omar al-Bashir was ousted from power in April 2019."</t>
  </si>
  <si>
    <t xml:space="preserve">"On 30 January 2018, the SPLM/A-North announced an extension of the unilateral ceasefire at South Kordofan and Blue Nile areas for four month starting on 1 February 2018. Pre-negotiations resumed in Addis Ababa on 3 February 2018, but the talks broke down on 4 February because the government refused the SPLM/A-North’s demand for greater autonomy." </t>
  </si>
  <si>
    <t>"Another round of exploratory peace talks was held between the Sudanese government and the SPLM/A-North in Addis Ababa and Johannesburg between 19 and 30 October 2018, but both sides continued to disagree on the terms of resuming official peace talks. Nevertheless, on 3 November 2018, the Sudanese government agreed to the proposal of SPLM/A-North to appoint South Sudanese President Salva Kiir as the chief mediator of future negotiations."</t>
  </si>
  <si>
    <t>"AU representatives met with different factions of the SPLM/A-North in Addis Ababa on 17 and 26 November respectively to prepare for official peace talks."</t>
  </si>
  <si>
    <t xml:space="preserve">"Several rounds of informal negotiations were held in Berlin throughout 2018. The German Foreign Ministry and the Berghof Foundation acted as mediators at these exploratory talks. These negotiations were aimed at initiating formal negotiations between the SRF alliance and the Sudanese government. Representatives of the JEM and the SLM/A-MM, representing the SRF, and the Sudanese government conducted pre-negotiations in Berlin on 16 and 17 April 2018. The Joint Special Representative for Darfur and representatives of Norway, the UK, and the US also particpated in these pre-negotiations." </t>
  </si>
  <si>
    <t>"Another such round of negotiations was held in Berlin on 28 June 2018, this time with involvement from the SPLM/A-North as well. Both of these informal negotiations failed to reach agreement on official negotiations."</t>
  </si>
  <si>
    <t>"Another round of negotiations in Berlin on 6 and 7 December 2018, attended by the JEM and the SLM/A-MM, representing the SRF, and the Sudanese government, led to the signing of a pre-negotiation agreement, committing the parties to resume official negotiations."</t>
  </si>
  <si>
    <t>https://sudantribune.com/wp-content/uploads/2018/12/pdf_darfur_pre-negotiation_agreement_6_december_2018.pdf</t>
  </si>
  <si>
    <t>"On 2 January 2018, the Troika – comprising of the US, the UK, and Norway – called on the conflict parties to end their military operations and threatened to impose sanctions on those who would not comply with this call. The IGAD-led mediation process continued in 2018. The second round of the IGAD revitalization forum was held in Addis Ababa between 5 and 16 February 2018, but no agreement was reached."</t>
  </si>
  <si>
    <t>"A round of proximity talks  was held between the conflict parties in Addis Ababa on 11 and 12 May 2018.  This round of indirect talks was followed by the resumption of the revitalization forum in Addis Ababa from 17 to 23 May 2018. The South Sudan Council of Churches supported this IGAD-led round of negotiations through facilitating dialogue sessions to bridge their differences on the outstanding governance and security issues identified as critical to revitalize the Agreement.  The conflict parties recommitted to the implementation of the cessation of hostilities agreement, but little substantial progress was made. Ethiopian Prime Minister Abiy Ahmed initially led the effort the revitalize the peace process following his election in April 2018."</t>
  </si>
  <si>
    <t>"A round of proximity talks  was held between the conflict parties in Addis Ababa on 11 and 12 May 2018. This round of indirect talks was followed by the resumption of the revitalization forum in Addis Ababa from 17 to 23 May 2018. The South Sudan Council of Churches supported this IGAD-led round of negotiations through facilitating dialogue sessions to bridge their differences on the outstanding governance and security issues identified as critical to revitalize the Agreement.  The conflict parties recommitted to the implementation of the cessation of hostilities agreement, but little substantial progress was made. Ethiopian Prime Minister Abiy Ahmed initially led the effort the revitalize the peace process following his election in April 2018."</t>
  </si>
  <si>
    <t>"The conflict parties engaged in shuttle negotiations in Addis Ababa from 18 to 20 June 2018, but Abiy Ahmed mediated a face-to-face meeting between President Salva Kiir and Riek Machar on the final day of this round of negotiations. This was the first meeting of Kiir and Machar since the resumption of hostilities in July 2016. The following day, on 21 June 2018, the IGAD Assembly of Heads of State and Government mandated Sudanese President Omar al-Bashir to mediate the negotiations. President al-Bashir was supported by Ugandan President Yoweri Museveni."</t>
  </si>
  <si>
    <t>"Face-to-face talks between President Kiir and Machar resumed in Khartoum on 25 June and concluded with the Khartoum Declaration of Agreement between Parties of the Conflict of South Sudan on 27 June. This agreement was also signed by the representatives of the South Sudan Opposition Alliance, the “Former Detainees”, and the other political parties. In the Declaration, the signatories announced a permanent ceasefire, set objectives for transitional security arrangements and signatories to reach an agreement on the IGAD revised bridging proposal, improve infrastructure and basic services in South Sudan and restore oil fields in Unity. The agreement also stipulates a comprehensive ceasefire. This agreement commits the conflict parties to a permanent ceasefire and to finalize a deal on the pending issues in the governance chapter of the 2015 peace agreement. stipulated a “revised bridging proposal” that listed the details of a pre-transitional period. The agreement also includes provisions with regard to the oil, elections, and reconstruction. The agreement thus was meant to pave the way for the formation of an inclusive transitional cabinet. The agreement also called upon the AU and IGAD to deploy protection forces and ceasefire monitors to observe the ceasefire implementation. In addition, the conflict parties agreed to open the humanitarian corridors, release detainees, withdraw troops and militarily disengage."</t>
  </si>
  <si>
    <t>"On 6 July 2018,  following a round of negotiations mediated by  Sudan and Uganda in Khartoum, the conflict parties signed the Agreement on Outstanding Issues of Security Arrangements, which included additional provisions on the ceasefire and the Disarmament, Demobilization, and Reintegration (DDR) process."</t>
  </si>
  <si>
    <t>https://www.peaceagreements.org/view/2109</t>
  </si>
  <si>
    <t>"Another meeting  between  Kiir and Machar, mediated by Sudan and Uganda, took place in Entebbe on 7 July 2018."</t>
  </si>
  <si>
    <t>"The conflict parties signed the Agreement on Outstanding issues of Governance on 5 August 2018. This agreement supplemented and/or amended previously agreed provisions on political power-sharing through specifying who will hold the key government ministries and positions."</t>
  </si>
  <si>
    <t>"Building on progress made through the signing of the Agreement on Outstanding issues of Governance, another round of negotiations was held in Khartoum  between  13 and 19 August 2018. These talks mainly focused on the status and incorporation of the documents agreed upon in Addis Ababa and in Khartoum in the preceding months. On 18 August 2018, the mediators circulated a draft revitalized text of the peace agreement to the parties for comment before adjourning for the Eid holidays."</t>
  </si>
  <si>
    <t>https://www.peaceagreements.org/viewmasterdocument/2111</t>
  </si>
  <si>
    <t>"Another round of negotiations in Khartoum started on 25 August 2018 and led to the signing of a draft revitalized peace agreement between 28 and 30 August."</t>
  </si>
  <si>
    <t>"The conflict parties signed a final agreement in Addis Ababa on 12 September 2018, referred to as the Revitalized Agreement on the Resolution of the Conflict in South Sudan (R-ARCSS). While the Troika had been involved in most of the IGAD-led negotiations in 2018, they were excluded from the final rounds of negotiations. The Troika therefore refused to co-sign the R-ARCSS. The agreement outlined a revised comprehensive framework for the transition from conflict. The agreement stipulated the reinstatement of Machar as First Vice President and the establishment of a transitional government in May 2019. In addition, in line with the agreement, Kiir ordered the release of all prisoners of war and detainees in September 2018. Kiir and Machar jointly attended peace celebrations in the capital Juba on October 31 2018, together with the presidents of Sudan, Uganda, Somalia, and Ethiopia, as well as Egypt’s prime minister. Nevertheless, fighting between government forces and the SPLM/A-IO continued throughout the year, though at a lower intensity."</t>
  </si>
  <si>
    <t>The term 'other' refers to the TROIKA's absention from signing the Revitalized Agreement on the Resolution of the Conflict in South Sudan.</t>
  </si>
  <si>
    <t>"Following a massive popular uprising, President Omar al-Bashir was ousted from power in April 2019. The transitional government that was put in place continued to negotiate with the SRF. Negotiations in Juba in September 2019 led to the signing of the Juba Declaration for Confidence Building Procedures and the Preparation for Negotiation on 11 September 2019."</t>
  </si>
  <si>
    <t>"A second round of negotiations in Juba between 14 and 21 October led to the signing of a political declaration between the transitional Government and SRF."</t>
  </si>
  <si>
    <t>"The R-ARCSS stipulated that Salva Kiir and Riek Machar had to form a unity government by May 2019. On 2 May 2019, IGAD mediated a round of negotiations in Addis Ababa where the conflict parties and the IGAD mediation team agreed to extend the deadline to 12 November 2019. The conflict parties indicated that this extension was needed to complete the necessary transitional security arrangements, including protection for senior government officials, to form the transitional Government. However, follow-up mediation was also needed to address more substantial issues. The International Crisis Group reported on the need for follow-up mediation on the R-ARCSS, stating that “The accord, brokered by Sudan’s Omar al-Bashir and Uganda’s Yoweri Museveni, is not a finished product and requires revision” and that “Additional political deals are necessary on two crucial matters – unifying a national army and resolving bitter disagreements over local boundaries and administration inside South Sudan. Absent such deals, the Kiir-Machar truce may fail its first major test in May 2019, when the two South Sudanese leaders are scheduled to form a unity government.” On 18 October, in a communiqué, the Peace and Security Council of the AU called for the parties’ adherence to the deadline of 12 November. During its visit to South Sudan on 20 October 2019, the UN Security Council also called for adhering to the deadline, but also stressed the need to address outstanding issues. While the Government of South Sudan intended to form the Revitalized Transitional Government of National Unity on 12 November, the SPLM/A-IO called for an extension."</t>
  </si>
  <si>
    <t>"President Kiir and SPLM/A-IO leader Machar engaged in a face-to-face meeting mediated by Ugandan President Yoweri Museveni on 7 November 2019. The Chair of the Sovereign Council of the Sudan, Lieutenant General Abdel Fattah Abdelrahman Al-Burhan, and the Special Envoy of Kenya to South Sudan were also involved in these talks. The meeting focused on outstanding pre-transitional tasks: transitional security arrangements, the issue of states and their boundaries, and the formation of the Revitalized Transitional Government of National Unity. In order to address these issues, Kiir and Machar agreed on an extension of the pre-transitional period for an additional 100 days, commencing on 12 November 2019."</t>
  </si>
  <si>
    <t>The term 'other' refers to involvement in the negotiation short of mediation.</t>
  </si>
  <si>
    <t>"Another face-to-face meeting between Kiir and Machar, which also involved other signatories of the R-ARCSS, took place on 9 November 2019. These talks were mediated by IGAD. The talks led to the endorsement of the plan to extend the deadline with 100 days in order to facilitate the resolution of the outstanding issues."</t>
  </si>
  <si>
    <t>Framework Agreement for Peace in Darfur</t>
  </si>
  <si>
    <t>https://reliefweb.int/report/sudan/sudan-armed-groups-sign-framework-agreement-peace-darfur</t>
  </si>
  <si>
    <t>UNAMID supported the South Sudanese efforts to mediate the Framework Agreement for Peace in Darfur.</t>
  </si>
  <si>
    <t>https://reliefweb.int/report/sudan/unamid-welcomes-framework-agreement-between-transitional-government-and-darfur-track</t>
  </si>
  <si>
    <t>South Sudanese chief mediator Tut Gatluak mediated talks between the head of the Sudanese government's mediation team, Shams al-Din Kabbashi, and representatives from the four armed groups: JEM, SLM led by Minni Minnawi, Sudan Liberation Movement Tansitional Council, and the Sudan Liberation Forces Alliance. These talks culminated in the Framework Agreement for Peace in Darfur on 28 December 2019. The Sudan Liberation Movement boycotted the process.</t>
  </si>
  <si>
    <t>"Khartoum, 8 January 2020. A joint Government and UN delegation just returned from a two day visit to El Geneina, West Darfur, 5-6 January, having assessed the situation to provide immediate humanitarian assistance to the needs of the most vulnerable, particularly women, children and the people with disabilities. The delegation included the Humanitarian Aid Commission (HAC), the Ministry of Health, the Ministry of Labour and Social Development, together with the Resident and Humanitarian Coordinator and the Representatives of WFP and UNICEF. The delegation met with affected people, West Darfur State Governor (Wali), the West Darfur HAC Commissioner, the Deputy Sultan, and Arab leaders."</t>
  </si>
  <si>
    <t>https://reliefweb.int/report/sudan/joint-statement-undersecretary-ministry-labour-and-social-development-mr-mohamed</t>
  </si>
  <si>
    <t>ICRC</t>
  </si>
  <si>
    <t>"The International Committee of the Red Cross (ICRC) is distributing Essential Household Items (EHIs) to those affected by the violence which began on December 28, 2019, around El Geneina, West Darfur, causing several deaths, injuries, and displacement of thousands of persons within the area and into Chad....The ICRC is a neutral and independent humanitarian organization and continues to respond to humanitarian needs in Sudan. Last year, it delivered safe drinking water to 326,407 persons and vaccinated over 325'810 animals in Darfur, South Kordofan and the Blue Nile; provided seeds and farming tools to 138,000 persons in North and Central Darfur and supported 7 health facilities in Khartoum to care for those injured during the Sudanese protests. In the past, and based on its role as a neutral intermediary, the ICRC variously facilitated the return of combatants in the power of parties during the Sudanese conflict back to their respective locations. The on-going humanitarian response in West Darfur is consistent with the mandate of the ICRC to alleviate the suffering of those affected by armed conflict and violence and provide them with succor."</t>
  </si>
  <si>
    <t>https://reliefweb.int/report/sudan/darfur-icrc-assists-7800-injured-and-displaced-persons-affected-violence-west-darfur</t>
  </si>
  <si>
    <t>On 9 January 2020 "[t]he UN World Food Programme (WFP) Executive Director, David Beasley, accompanied by the Prime Minister of Sudan, Abdalla Hamdok, today visited Kauda in the Nuba Mountains region of South Kordofan, marking a new milestone in the gradual expansion of humanitarian access to contested areas of Sudan. Also taking part in the confidence-building mission were five Sudanese government ministers, three Khartoum-based diplomats and United Nations officials."
The delegation was received by Sudan People Liberation Movement North (SPLM-N) leader, Abdulaziz Al-Hilu, and WFP employees from South Sudan. The Executive Director used his good offices to facilitate the first visit of Sudanese officials to non-government-controlled areas in South Kordofan in more than nine years.</t>
  </si>
  <si>
    <t>https://reliefweb.int/report/sudan/wfp-executive-director-sudan-prime-minister-historic-visit-nuba-mountains-south</t>
  </si>
  <si>
    <t>South Kordofan/Nuba Mountains; Blue Nile</t>
  </si>
  <si>
    <t>"On 9 January, the Prime Minister of Sudan, Dr. Abdalla Hamdok, the Minister of Labour and Social Development, the Minister of Health, the Executive Director of the World Food Programme, the United Nations Resident Coordinator and Humanitarian Coordinator (RC/HC) in Sudan, Gwi-Yeop Son and representatives of UN agencies and diplomatic missions in Sudan visited Kauda in the Nuba Mountains area of South Kordofan State.
This is the first joint Government and United Nations mission to the area since fighting broke out in 2011. The delegation was received by Abdelaziz al-Hilu, leader of the Sudan People’s Liberation Movement – North (SPLM-N) al-Hilu faction."</t>
  </si>
  <si>
    <t>https://reliefweb.int/report/sudan/joint-government-sudan-troika-and-united-nations-delegation-visits-kauda-south-kordofan</t>
  </si>
  <si>
    <t>The term 'other' refers to the UN's support for the government's and rebels humanitarian efforts in the South Kordofan and Blue Nile regions.</t>
  </si>
  <si>
    <t>https://pachodo.org/latest-news-articles/news-from-various-sources/38235-impagliazzo-sant-egidio-not-giving-up-on-peace-mediation</t>
  </si>
  <si>
    <t>https://reliefweb.int/report/sudan/sant-egidio-brokers-meeting-peace-south-sudan-between-government-holdout-groups</t>
  </si>
  <si>
    <t>"January 11, 2019 (JUBA) - South Sudanese government and three opposition holdout groups have launched discussions on peace in the country organized by the Roman Catholic Sant’ Egidio peace group.
The five-day meeting discusses ways to bring the South Sudan Opposition Alliance led by Thomas Cirilo, South Sudan United Front/ Army, under the leadership of General Paul Malong Awan Anei; and Pagan Amum, the leader of Former Detainees group.
The government’s delegation is led by the former Foreign Minister Barnaba Marial Benjamin who is flanked by the cabinet minister Elia Lomuoro and the head of the National Security Service Akol Koor Kuc.
Several sources confirmed to Sudan Tribune the meeting which started on Friday and is expected to end on Tuesday 14 January."</t>
  </si>
  <si>
    <t>"Last November Cirilo was in Rome for meetings with Sant' Edigio officials on ways to reach a negotiated settlement for the armed conflict in the country.
At the end of his two-day discussions, he issued a statement on 20 November 2019 calling on Sant’ Egidio to engage with his alliance, the government and other signatories of the revitalized peace agreement from one side and the regional and international partners on the other side to "make this dialogue process a success".
In a meeting held in Rome during his visit to Rome in March 2019, President Salva Kiir encouraged Sant’ Egidio to continue its efforts for an inclusive peace in his country.
Last November, President Salva Kiir and his main peace partner Riek Machar agreed to delay the formation of the transitional national unity government until next February."</t>
  </si>
  <si>
    <t>"Zalingei, 14 January 2020 - On 13 January, UNAMID Joint Special Representative/Joint Chief Mediator (JSR/JCM), Jeremiah Mamabolo visited the deserted Krinding camp for internally displaced persons (IDPs) in El Geneina town in West Darfur State, to assess the extent of damage during the recent intercommunal clashes that resulted in a number of fatalities and injuries as well as mass displacement amongst the civilian population in the area."</t>
  </si>
  <si>
    <t>https://reliefweb.int/report/sudan/unamid-joint-special-representative-visits-el-geneina-west-darfur-following</t>
  </si>
  <si>
    <t>TUR</t>
  </si>
  <si>
    <t>Gambia</t>
  </si>
  <si>
    <t>GAM</t>
  </si>
  <si>
    <t>"The fifth training program of the training project launched by Turkish Cooperation and Coordination Agency (TİKA) for 12 OIC member states in cooperation with the Statistical, Economic and Social Research and Training Center for Islamic Countries (SESRIC) and the Ministries of Health of Turkey and Sudan was organized in the Gambia."</t>
  </si>
  <si>
    <t>https://reliefweb.int/report/sudan/t-ka-increases-disaster-and-emergency-response-capacity-oic-member-states</t>
  </si>
  <si>
    <t>Sweden</t>
  </si>
  <si>
    <t>SWD</t>
  </si>
  <si>
    <t>"(London, 17 January 2020): International donors today affirmed the importance of scaling up their humanitarian assistance to Sudan in 2020 and of frontloading resources early in the year.
At a High-Level Roundtable in London co-hosted by the UK, Sweden, the UN's Office for the Coordination of Humanitarian Affairs (OCHA) and with participation of the Sudanese Government, 19 international donors also reviewed plans for life-saving and life-sustaining relief to people in need and emphasized the importance of providing funding effectively including through multiyear and flexible support. Sudan also received assurances from the United Nations and NGOs to step up response to address the country's urgent humanitarian needs."</t>
  </si>
  <si>
    <t>https://reliefweb.int/report/sudan/joint-press-release-robust-show-international-humanitarian-support-sudan</t>
  </si>
  <si>
    <t>The term 'other' refers to the WHO's supply of medical equipment to West Darfur.</t>
  </si>
  <si>
    <t>"14 January 2020 – The World Health Organization (WHO) and health partners are responding to the health needs of people affected by recent conflict in El Geneina, West Darfur, Sudan. To date, WHO has delivered medicines and medical supplies for more than 120 200 people, including those in need of trauma or surgical care. Other supplies delivered by health partners include medicines for diarrhoeal diseases, childhood illnesses, and obstetric deliveries."</t>
  </si>
  <si>
    <t>https://reliefweb.int/report/sudan/who-responds-urgent-health-needs-people-affected-conflict-el-geneina-west-darfur</t>
  </si>
  <si>
    <t>"January 19th, 2020 ― Doha: Today, a Qatar Emiri Air Force (QEAF) aircraft arrived in Khartoum to deliver the first shipment of medical aid donated by the State of Qatar to the Republic of Sudan. Under a humanitarian intervention conducted by Qatar Red Crescent Society (QRCS), the aircraft landed at Khartoum International Airport with diverse medical supplies aboard. It is the first of three batches of medical aid, totaling 70 tons, donated for Sudan’s Federal Ministry of Health (FMOH). The remaining batches are to arrive over the coming few days."</t>
  </si>
  <si>
    <t>https://reliefweb.int/report/sudan/state-qatar-delivers-successive-medical-aid-sudan-enar</t>
  </si>
  <si>
    <t>The term 'other' refers to the supply of medical equipment to Sudan.</t>
  </si>
  <si>
    <t>"(19 January, London) - Saudi Arabia, the biggest aid provider to Sudan, has pledge continued commitment to the beleaguered state. The pledge was made a high-level roundtable on Humanitarian Aid in Sudan co-hosted by the UK, Sweden and the UN's Office for the Coordination of Humanitarian Affairs (OCHA) in London."</t>
  </si>
  <si>
    <t>https://reliefweb.int/report/sudan/saudi-arabia-reiterates-its-commitment-top-sudan-donor</t>
  </si>
  <si>
    <t>The term 'other' refers to Saudi Arabia's reiteration of its support to Sudan.</t>
  </si>
  <si>
    <t>"January 22nd, 2020 ― Doha: The delegation of Qatar Emiri Air Force (QEAF) is supervising the handover and distribution of the Qatari medical aid of 70 tons, intended to support the health sector in Sudan. They also held several meetings with various partners."</t>
  </si>
  <si>
    <t>https://reliefweb.int/report/sudan/handover-qatar-medical-aid-going-sudan-enar</t>
  </si>
  <si>
    <t>"AECID activa el convenio de emergencias que mantiene con Acción contra el Hambre para una intervención de urgencia por un importe de 51.000 euros
Las intensas lluvias acaecidas en los meses de agosto y septiembre en Sudán causaron graves inundaciones en el país, afectando a más de 426.000 personas, casi el doble en comparación con las inundaciones de 2018. Los estados más afectados por las inundaciones fueron White Nile, Kassala, Khartoum, Kordofan Oeste y Darfur Norte, según datos de la Oficina de Coordinación Humanitaria de las Naciones Unidas (OCHA).
Para dar respuesta a las necesidades humanitarias causadas por esta situación, la Agencia Española de Cooperación Internacional para el Desarrollo (AECID) ha activado recientemente el convenio de emergencias que mantiene con la ONG Acción contra el Hambre para llevar a cabo una intervención en la localidad de Um Rimta, estado de White Nile, por un importe de 51.000 euros. El objetivo es contribuir a la recuperación de las poblaciones afectadas por las inundaciones, así como facilitar la identificación y tratamiento de enfermedades comunes y malnutrición de menores de 5 años y la consulta prenatal y postnatal de mujeres lactantes y embarazadas."</t>
  </si>
  <si>
    <t>https://reliefweb.int/report/sudan/acci-n-humanitaria-espa-ola-en-sud-n</t>
  </si>
  <si>
    <t>The term 'other' refers to AECID's supply of medical suplpies to Sudan.</t>
  </si>
  <si>
    <t>"January 22, 2020 (Khartoum) – The Sudanese Armed Forces (SAF) and the International Committee of the Red Cross (ICRC) today renewed a Memorandum of Understanding (MOU) with respect to the ICRC's support to the SAF for the teaching and integration of International Humanitarian Law (IHL) within their Armed Forces. The document was first signed in 2008. It has been renewed regularly ever since, most recently in 2015."</t>
  </si>
  <si>
    <t>https://reliefweb.int/report/sudan/icrc-continue-teaching-laws-war-sudanese-armed-forces</t>
  </si>
  <si>
    <t>The term 'other' refers to the ICRC teaching the laws of war in accordance with international humanitarian law and the renewal of an MoU.</t>
  </si>
  <si>
    <t>Framework peace agreement with Agar</t>
  </si>
  <si>
    <t>"January 24, 2020 (JUBA) - The Sudanese government and the SPLM-N led by Malik Agar signed a framework peace agreement in Juba on Friday, ahead of comprehensive peace agreement with armed groups before mid-February.
The purpose of the framework agreement with Agar group which is part of the Sudanese Revolutionary Front (SRF)is to end the nearly 9-year armed conflict in the Blue Nile and South Kordofan states.
The dispositions of the signed deal included the right to legislate in the two areas, land ownership, power and wealth sharing and principles of security arrangements.
It is expected to be followed by a comprehensive peace agreement between the government and the SRF groups in Darfur and eastern Sudan before 14 February, once the other tracks complete framework agreements.
The signing ceremony took place at the presidential palace in Juba, in the presence of President Salva Kiir, a number of Sudanese government officials and the leaders of the Revolutionary Front."</t>
  </si>
  <si>
    <t>https://reliefweb.int/report/sudan/sudan-splm-n-agar-sign-peace-framework-agreement</t>
  </si>
  <si>
    <t>"In accordance with UN Security Council Resolution 2495 (2019), which mandated UNAMID to support the peace process, the Mission is providing logistical support to the Peace Commission, Transitional
Government of Sudan, and Sudan Revolutionary Front (SRF) Darfur Track members to enable them to travel to different Darfur states to organize two major consultative conferences for IDPs (Internally Displaced Persons), native administration and civil society to facilitate their participation in peace talks currently underway in Juba, South Sudan.
The two conferences will be held in El Fasher, north Darfur before the end of January 2020 after conclusion of consultations with various stakeholders by the Joint Field Committee (JFC) comprising the National Peace Commission, the Transitional Government of Sudan and the SRF Darfur Tracks."</t>
  </si>
  <si>
    <t>The term 'other' refers to UNAMID's hosting of cultative meetings and provision of logistical support.</t>
  </si>
  <si>
    <t>https://reliefweb.int/report/sudan/unamid-provides-logistical-support-consultative-conferences-sudan-peace-process</t>
  </si>
  <si>
    <t>"Zalingei, 26 January 2020— In the aftermath of the recent looting incidents of UN assets in West, South and more recently, North Darfur, UNAMID’s Joint Special Representative/Joint Chief Mediator, Jeremiah Mamabolo met with Government of Sudan officials, and agreed to immediately reactivate a joint security mechanism that will allow for speedy security related consultations and decisions."</t>
  </si>
  <si>
    <t>https://reliefweb.int/report/sudan/unamid-and-government-sudan-agree-reactivate-darfur-joint-security-mechanism</t>
  </si>
  <si>
    <t>The term 'other' refers to the establishment of security mechanisms.</t>
  </si>
  <si>
    <t>"The United Nations World Food Programme (WFP) in Sudan hosted a three-day event on post-harvest losses, to explore ways of reducing food losses through approaches such as hermetic storage bags that were showcased at the event.
The event held from 27 to 29 January linked various actors in the food value chain, including international manufacturers, national distributors and marketing companies along with government representatives from the Ministry of Agriculture – a key supporter and co-host of the event."</t>
  </si>
  <si>
    <t>https://reliefweb.int/report/sudan/wfp-and-government-sudan-hold-second-forum-curb-post-harvest-losses</t>
  </si>
  <si>
    <t>The term 'other' refers to the UN's WFP hosting a reound-table consultative event.</t>
  </si>
  <si>
    <t>"Khartoum, Sudan - The international community must immediately boost its support to Sudan to accelerate its transition to civilian rule, allowing it to sustain peace and accelerate much-need development, said Achim Steiner, the Head of the United Nations Development Programme (UNDP) as he concluded his three-day visit to Sudan -- the first ever by a UNDP Administrator."</t>
  </si>
  <si>
    <t>https://reliefweb.int/report/sudan/undp-administrator-2020-once-lifetime-opportunity-support-sudan</t>
  </si>
  <si>
    <t>The term 'other' refers to the UNDP Administrator's tour of Sudan.</t>
  </si>
  <si>
    <t>"El Fasher, north Darfur; The Joint Field Committee (JFC), consisting of the Transitional Government of Sudan (TGoS) and the Sudan Revolutionary Front (SRF)- Darfur Track in partnership with UNAMID, organized two consultative conferences to identify representatives of Internally Displaced Persons (IDPs), civil society and Native Administration drawn from all five Darfur States, to participate in the peace talks in Juba, South Sudan. In accordance with the United Nations Security Council Resolution 2495 (2019), UNAMID is providing logistical support to the Sudan Peace Commission, TGoS, and SRF -Darfur Track, to organize these two major consultative conferences."</t>
  </si>
  <si>
    <t>https://reliefweb.int/report/sudan/unamid-supports-consultative-conferences-idps-and-darfur-civil-society-sudan-peace</t>
  </si>
  <si>
    <t>ACCORD</t>
  </si>
  <si>
    <t>"Advancing mediation and conflict prevention capacities of Sudanese women to ensure effective and enhanced mediation interventions.
ACCORD in partnership with the Intergovernmental Authority on Development (IGAD) Mediation Support Unit (MSU) held a three-day Training of Trainers for Sudanese women from the Blue Nile and Nuba Mountains. The training was held from the 3-5 February 2020 in Juba, South Sudan."</t>
  </si>
  <si>
    <t>https://reliefweb.int/report/sudan/accord-facilitates-training-trainers-sudanese-women-blue-nile-and-nuba-mountains</t>
  </si>
  <si>
    <t>The term 'other' refers to training provided by the South African entity ACCORD for Sudanese women in mediation and conflict resolution supported by IGAD.</t>
  </si>
  <si>
    <t>ICC</t>
  </si>
  <si>
    <t>African Development Bank</t>
  </si>
  <si>
    <t>Canada</t>
  </si>
  <si>
    <t>Japan</t>
  </si>
  <si>
    <t>Kuwait</t>
  </si>
  <si>
    <t>The Netherlands</t>
  </si>
  <si>
    <t>United Arab Emirates</t>
  </si>
  <si>
    <t>World Bank</t>
  </si>
  <si>
    <t>CAN</t>
  </si>
  <si>
    <t>JPN</t>
  </si>
  <si>
    <t>KUW</t>
  </si>
  <si>
    <t>UAE</t>
  </si>
  <si>
    <t>The term 'other' refers to broad discussions about how the international community can support Sudan in general terms.</t>
  </si>
  <si>
    <t>"H.E. Finance Minister Dr. Ibrahim al-Badawi and H.E. the State Secretary for Foreign Affairs of Sweden Amb. Robert Rydberg made opening remarks at the sixth meeting of the Friends of Sudan meeting in Stockholm on 18 February. Representatives of the Government of Sudan presented further information about the economic reform process and provided an update of the peace process. Sweden’s Deputy Director-General and Head of Africa Department Irina Schoulgin Nyoni chaired the meeting.
Representatives from the African Development Bank, Canada, Egypt, European Union, Ethiopia, France, Germany, Italy, Japan, Kuwait, The Netherlands, Norway, Qatar, Saudi Arabia, Sweden, United Arab Emirates, United Kingdom, United Nations, United States, the World Bank and the Government of Sudan participated in the meeting. All participants engaged in broad discussions on how the international community can best support Sudan’s Transitional Government in its efforts to achieve peace and promote economic recovery and development."</t>
  </si>
  <si>
    <t>https://reliefweb.int/report/sudan/chair-s-statement-sixth-friends-sudan-meeting-stockholm-18-february-2020</t>
  </si>
  <si>
    <t>Administrative agreement for Eastern Sudan</t>
  </si>
  <si>
    <t>"February 21, 2020 (JUBA) - The transitional government and eastern Sudan groups on Friday signed an agreement to address the development issues in the region and ensure their political participation in the federal government.
The deal was reached within the framework of the Juba hosted negotiations between the government and the armed and political groups members of the Sudanese Revolutionary Front (SRF).
"The agreement created an administrative status for the eastern Sudan states and provided it with real powers to provide its people with the basic and necessary services," said Osama Said in statements to the media after the signing of the agreement.
On the economic level, the del provides to establish a fund for the east Sudan reconstruction with local funding along with the establishment of a private bank to attract support and financing by local and international donors."</t>
  </si>
  <si>
    <t>https://reliefweb.int/report/sudan/govt-srf-groups-sign-eastern-sudan-agreement</t>
  </si>
  <si>
    <t>On 1 March 2020, "the European Union has announced €100 million to support the civilian-led authorities in Sudan to meet the most pressing needs of the democratic transition.
*“The European Union is fully committed to accompanying the ongoing political transition in Sudan through all the means at its disposal. Besides political support, financial assistance to Sudan remains crucial, given the severity of the economic crisis in the country. We hope that these additional €100 million will boost the efforts of the transitional Government to implement reforms”, *said High Representative/Vice-President Josep Borrell, who is currently on his first official visit to Sudan."</t>
  </si>
  <si>
    <t>https://reliefweb.int/report/sudan/european-union-announces-100-million-support-democratic-transition-process-sudan</t>
  </si>
  <si>
    <t>https://reliefweb.int/report/sudan/european-union-provides-30-million-humanitarian-assistance-sudan</t>
  </si>
  <si>
    <t>"The European Union provides €30 million in humanitarian funding for vulnerable people in Sudan to help address needs in the country."</t>
  </si>
  <si>
    <t>"Addis Ababa, 06 March 2020: The Chairperson of the Commission, Moussa Faki Mahamat, concluded a two-day working visit to Khartoum today.
During his visit, the Chairperson held extensive consultations with Prime Minister Abdalla Hamdock of the Transitional Government, the Chairman and Vice Chairman of the Sovereignty Council, the Forces for Freedom and Change alliance, civil society organizations and personalities from the Opposition, as well with members of the international community in Khartoum, including the African diplomatic corps, the United Nations, the European Union and bilateral partners."</t>
  </si>
  <si>
    <t>https://reliefweb.int/report/sudan/communiqu-following-chairperson-s-visit-sudan</t>
  </si>
  <si>
    <t>The term 'other' refers to the AU Chairperson's holding of consultative meetings with Sudanese parties.</t>
  </si>
  <si>
    <t>Framework of Cooperation to prevent and respond to conflict-related Sexual Violence</t>
  </si>
  <si>
    <t>"The Special Representative of the Secretary-General on Sexual Violence in Conflict, Ms. Pramila Patten, has signed a Framework of Cooperation with the Government of Sudan to address sexual violence which has long been a feature of the conflict in the Darfur region. The landmark agreement follows a visit of the Special Representative to Sudan in 2018 where she witnessed first-hand the acute vulnerability of women and girls to sexual violence, particularly when they move outside the camps for the internally displaced while pursuing livelihood activities such as farming or collecting water and firewood."</t>
  </si>
  <si>
    <t>https://reliefweb.int/report/sudan/government-sudan-and-united-nations-sign-framework-cooperation-prevent-and-respond</t>
  </si>
  <si>
    <t>"Sudanese refugees in eastern Chad have reiterated their demand to participate in the ongoing peace talks in Juba. The head of the Sudan Revolutionary Front (SRF) rebel alliance attributed their delay of participation to logistical and administrative issues."</t>
  </si>
  <si>
    <t>https://reliefweb.int/report/sudan/sudanese-refugees-chad-demand-voice-juba-peace-talks</t>
  </si>
  <si>
    <t>"Khartoum, 29 March 2020. The Humanitarian Coordinator in Sudan, Gwi-Yeop Son, calls for a ceasefire across Sudan as part of a global fight against coronavirus pandemic. “It is time to put armed conflict on lockdown, pull back from hostilities and focus together on saving lives,” Ms. Son said.
“Let’s not forget that in conflict-affected areas health services have been affected the worst. Therefore, it is crucial to create corridors for life-saving aid and open precious windows for diplomacy and ultimate peace,” Ms. Son added.
Last week, the UN Secretary-General António Guterres appealed for global ceasefire while the world faces a common enemy: COVID-19. “I am calling for an immediate global ceasefire in all corners of the world. It is time to put armed conflict on lockdown and focus together on the true fight of our lives,” the UN Secretary-General said."</t>
  </si>
  <si>
    <t>https://reliefweb.int/report/sudan/statement-ms-gwi-yeop-son-humanitarian-coordinator-sudan-calling-ceasefire-across-sudan</t>
  </si>
  <si>
    <t>The term 'other' refers to the UN's calls for a ceasefire across Sudan in order to focus on tackling the health crisis caused by COVID-19.</t>
  </si>
  <si>
    <t>"April 12, 2020 (KHARTOUM) - The Sudan Liberation Movement led by Minni Minnawi (SLM-MM) Sunday said they will discuss with the mediation the issues of concern that led them to suspend their participation in the Juba process for peace.
The SLM-MM, on Friday, suspended its participation in the peace talks and expressed several concerns about the methodology of the negotiations, especially the lack of consultations.
In a statement extended to Sudan Tribune on Sunday, SLM-MM Media Official and rapporteur of its peace negotiating team Noreldaem Taha said the Movement’s Leadership Council held a meeting chaired by Minnawi to discuss the recent developments that led to the suspension.
"After extensive discussions, the Council took a number of decisions regarding the peace process and political alliances (...)".
Also, the meeting directed "its negotiating delegation in Juba to meet the mediation to address the issues of concerns" and renewed its commitment to reach a lasting comprehensive peace in Sudan.
On Saturday the Chief Mediator Tut Gatluak responded to the SLM-MM letter about the methodology of the peace negotiations."</t>
  </si>
  <si>
    <t>https://reliefweb.int/report/sudan/slm-minnawi-mediation-discuss-concerns-over-sudan-peace-process</t>
  </si>
  <si>
    <t>"The United Nations’ Interim Security Force for Abyei (UNISFA) facilitated two meetings between the Ngok Dinka and Misseriya traditional leaders at Diffra on 16 March and 9 April.
The significance of the two meetings was the attendance of both the Ngok Dinka and Misseriya paramount chiefs. The previous meetings attended by the two paramount chiefs were in 2013 and 2017. The latter meeting was held under the aegis of the African Union Commission in Addis Ababa.
While ground-breaking, the meetings of 16 March and 9 April took place at a time of heightened inter-community tensions in Abyei Area. The Nai Nai-Kolom attacks of 19 and 22 January had resulted in a stalling of the southward transhumance of the Misseriya cattle, pending an agreement by leaders of both communities on the way forward."</t>
  </si>
  <si>
    <t>https://reliefweb.int/report/sudan/inter-community-meetings-between-ngok-dinka-and-misseriya</t>
  </si>
  <si>
    <t>https://reliefweb.int/report/sudan/sudan-splm-n-agar-agree-include-west-kordofan-future-peace-deal</t>
  </si>
  <si>
    <t>"April 21, 2020 (JUBA) - The peace agreement to be signed between the Sudanese government and SPLM-N led by Malik Agar will include West Kordofan state, revealed Yasir Arman, the Movement’s chief negotiator.
On Tuesday, the two parties held their second teleconference meeting to discuss issues of peace in the Two Areas particularly the wealth-sharing, security arrangements and the situation of the West Kordofan in this agreement."</t>
  </si>
  <si>
    <t>The term 'other' refers to South Sudan's consulation of the warring parties and reception of recommendations from them for peace negotiations going forward.</t>
  </si>
  <si>
    <t>https://reliefweb.int/report/sudan/citing-escalating-violence-challenging-landscape-abyei-area-peacekeeping-chief</t>
  </si>
  <si>
    <t>"Despite improving relations between Sudan and South Sudan, progress is unlikely in determining the final status of the Abyei Area in the short to medium term, especially considering the COVID-19 pandemic, the Under-Secretary-General for Peacekeeping Operations told the Security Council during a 28 April videoconference meeting[*]."</t>
  </si>
  <si>
    <t>"An international delegation has proposed the formation of a transitional legislative council in cooperation with the armed movements to iron-out outstanding issues regarding the peace agreement.
At a meeting at the Presidential Palace in Khartoum on Monday, representatives of the Troika (the UK, Norway, and the USA), European Union, and Germany, were received by Mohamed El Taayshi, member of the Sovereign Council and spokesman for the negotiating delegation, and Member of the Sovereign Council Lt Gen Shamseldin Kabashi to discussed the development of the ongoing peace talks in Juba, capital of South Sudan.
The international delegation’s proposition suggests that the government should form the cooperative legislative council should both parties sign a peace agreement on May 9."</t>
  </si>
  <si>
    <t>https://reliefweb.int/report/sudan/sudan-peace-deal-international-community-recommends-transitional-legislative-council</t>
  </si>
  <si>
    <t>"May 6, 2020 (JUBA) - Darfur armed groups participating in the Juba peace process Wednesday said the Sudanese government backtracked on an agreement to allocate 30% of power to the Darfur region.
The Darfur groups were reacting to press statements on Monday by the Sudanese government negotiator Mohamed Hassan Eltaishi saying that the parties agreed to allocate 30% of the positions in the Sovereign Council, government and transitional parliament to the Peace Bloc which includes all the movements involved in the Juba negotiations. ...The government’s pullback led to engage in strenuous negotiations without reaching an agreement. After what it was agreed to discuss the matter with the other outstanding issues.
The parties had to meet on Wednesday, but a technical issue forced the European Union office in Juba to request the parties to postpone the meeting until Thursday."</t>
  </si>
  <si>
    <t>https://reliefweb.int/report/sudan/sudan-backtracks-deal-allocating-30-power-sharing-darfur-statement</t>
  </si>
  <si>
    <t>"May 9, 2020 (JUBA) - Peace talks between Sudan’s government and the Sudanese Revolutionary Front (SRF) have been extended with no time limit said South Sudanese Chief Mediator in a statement released on Saturday.
Tut Gatluak said the government and the SRF, during the previous rounds, have demonstrated their seriousness to achieving true peace in Sudan. ...Since last December, the government and the SRF groups extended the talks four times without reaching a final peace deal as discussions continue on security arrangements, power-sharing and wealth distribution.
For the talks with the SPLM-N Agar, the parties have to agree on the share of Two-Regions in the local resources and the final form of the regional authority.
For the armed groups in Darfur, the parties reached an agreement on the region’s ratio of the resources but still have to agree on the power-sharing as the armed movement claim the third of positions in the federal institutions.
Also, it should be noted that the talks between the government and the SPLM-N al-Hilu are deadlocked and there are no meetings."</t>
  </si>
  <si>
    <t>https://reliefweb.int/report/sudan/sudan-peace-talks-extended-sine-die</t>
  </si>
  <si>
    <t>Final Communiqué of the Sudan Partnership Conference 2020</t>
  </si>
  <si>
    <t>https://www.eeas.europa.eu/sites/default/files/20200625_joint_communique_-_sudan_partnership_conference_0.pdf</t>
  </si>
  <si>
    <t>"Today, Sudan, the European Union, Germany, and the United Nations co-hosted a virtual High-Level Sudan Partnership Conference.
The Joint Communiqué adopted by the participants, confirmed the support of the international community to the democratic and economic transition in Sudan headed by the civilian-led transitional Government.
In addition to displaying strong political support to the ongoing transition, partners pledged a total of $1.8 billion (€1.6 billion), with Team Europe – which includes the EU institutions and the EU Member States – providing $867 million (€770 million) in development andhumanitarian funding. Of this amount, the European Commission is contributing €312.25 million for medium and longer-term development assistance, immediate humanitarian aid, and support to stability and peace. This contribution comes at a critical moment, as the coronavirus pandemic further exacerbates the difficult socio-economic situation in the country."</t>
  </si>
  <si>
    <t>https://reliefweb.int/report/sudan/sudan-partnership-conference-eu-mobilises-more-support-sudans-transition</t>
  </si>
  <si>
    <t>"Sudan is at a historic turning point: On its way to peace and democracy, many challenges lie ahead. To sustain the momentum and make the political and economic transition a success, the High-Level Sudan Partnership Conference, today gathered around 50 countries and international organisations.
During the conference, the participants took stock of the achievements of the Sudanese transition so far, and discussed the challenges ahead. Building on the progress made by the Transitional Government in putting in place political and economic reforms, a strong political consensus emerged to support Sudan and its transition in building peace, democratic governance and inclusive economic recovery as well as in progressing towards debt relief.
Participating delegations agreed on a Joint Communiqué, which underlines the necessity of this political partnership and economic support as well as outlines the way forward to support Sudan in its transition."</t>
  </si>
  <si>
    <t>https://reliefweb.int/report/sudan/sudan-partnership-conference-joint-press-release-co-hosts-federal-republic-germany</t>
  </si>
  <si>
    <t>Belgium</t>
  </si>
  <si>
    <t>Croatia</t>
  </si>
  <si>
    <t>Czechia</t>
  </si>
  <si>
    <t>Denmark</t>
  </si>
  <si>
    <t>Estonia</t>
  </si>
  <si>
    <t>Finland</t>
  </si>
  <si>
    <t>Greece</t>
  </si>
  <si>
    <t>Hungary</t>
  </si>
  <si>
    <t>Ireland</t>
  </si>
  <si>
    <t>Lithuania</t>
  </si>
  <si>
    <t>Malta</t>
  </si>
  <si>
    <t>Poland</t>
  </si>
  <si>
    <t>Portugal</t>
  </si>
  <si>
    <t>The Republic of Korea</t>
  </si>
  <si>
    <t>Slovenia</t>
  </si>
  <si>
    <t>Arab Fund for Social Development</t>
  </si>
  <si>
    <t>IMF</t>
  </si>
  <si>
    <t>Islamic Development Bank</t>
  </si>
  <si>
    <t>BEL</t>
  </si>
  <si>
    <t>CRO</t>
  </si>
  <si>
    <t>CZR</t>
  </si>
  <si>
    <t>DEN</t>
  </si>
  <si>
    <t>EST</t>
  </si>
  <si>
    <t>FIN</t>
  </si>
  <si>
    <t>GRC</t>
  </si>
  <si>
    <t>HUN</t>
  </si>
  <si>
    <t>IRE</t>
  </si>
  <si>
    <t>LIT</t>
  </si>
  <si>
    <t>MLT</t>
  </si>
  <si>
    <t>POL</t>
  </si>
  <si>
    <t>POR</t>
  </si>
  <si>
    <t>ROK</t>
  </si>
  <si>
    <t>SLV</t>
  </si>
  <si>
    <t>"June 11, 2020 (KHARTOUM) - Sudanese parties to the Juba-mediated process edged closer to clinching a peace deal as they are finalizing talks on national issues, said Yasir Arman SPLM-N Agar on Thursday.
In line with a time frame endorsed by the Sudanese government and the armed groups last May, the two sides will initial a peace agreement on 20 June.
The head of the government negotiating team Mohamed Haman Daglo “Hemetti” took part in a teleconference session of talks on national issues and vowed to sign the deal as agreed on 20 June."</t>
  </si>
  <si>
    <t>https://reliefweb.int/report/sudan/sudanese-parties-close-signing-initial-peace-deal-arman</t>
  </si>
  <si>
    <t>"Following the killing incident at the Kalma Camp for the Internally Displaced Persons (IDPs) in south Darfur on 11 June and the probability of a revenge attack by aggrieved parties, UNAMID Joint Special Representative/Joint Chief Mediator (JSR/JCM), Jeremiah Mamabolo, on 14 June, engaged in a series of high-level consultations with officials of the Transitional Government of Sudan (TGoS) to immediately chart a joint way forward to mitigate the palpable tension in the IDP Camp and to allow the due process of the law to take its course."</t>
  </si>
  <si>
    <t>https://reliefweb.int/report/sudan/unamid-jsr-consults-transitional-government-sudan-defusing-tension-kalma-idps-camp</t>
  </si>
  <si>
    <t>"June 20, 2020 (JUBA) - Darfur Armed groups said that there are several sticking points in the peace talks besides the security arrangements before to reach a comprehensive deal. The head of the Revolutionary Front, al-Hadi Idris, and the Sudan Liberation Movement Minni Minnawi (SLM-MM)’s Presidential Assistant for Media and Public Relations Noreldaem confirmed to Sudan Tribune the readiness of the armed groups to reach a peace agreement and stressed that the postponement of the signing of the peace deal was due to the delayed arrival of the government delegation to Juba for the resumption of the direct talks.
The two officials revealed that there are many outstanding issues including the wealth-sharing and the amount of money that the government should disburse annually to funds related to the compensation of the war-affected civilians, recovery programmes and development.
The South Sudanese mediation officially announced in Juba Friday that the two parties could not sign a peace agreement on June 20 as it had been previously announced, adding that arrangements are underway to receive the government delegation in Juba on Sunday."</t>
  </si>
  <si>
    <t>https://reliefweb.int/report/sudan/there-are-several-pending-issues-address-peace-darfur-groups</t>
  </si>
  <si>
    <t>"On Thursday, a delegation of the South Sudanese team mediating the Sudanese peace negotiations in Juba arrived in Khartoum, for a two-day visit. They are accompanied by senior negotiators of the Sudan Revolutionary Front rebel alliance, who will negotiate a number of outstanding issues in direct talks with the Sudanese government. The Sudanese Professionals Association discussed the peace process with PM Abdallah Hamdok."</t>
  </si>
  <si>
    <t>https://reliefweb.int/report/sudan/sudan-peace-negotiations-direct-talks-khartoum-outstanding-issues</t>
  </si>
  <si>
    <t>"June 29, 2020 (KHARTOUM) - Talks between the government, a delegation of armed groups achieved progress on several sticky issues in the peace process but no agreement has been reached on the seats of peace groups in the legislative assembly."</t>
  </si>
  <si>
    <t>https://reliefweb.int/report/sudan/talks-between-sudan-peace-parties-achieve-progress-khartoum</t>
  </si>
  <si>
    <t>"July 10, 2020 (KHARTOUM) - Yasir Arman, deputy head of the SPLM-N led by Malik Agar, said that the expected peace agreement will create a new phase of transition that addresses the past mistakes and allow to achieve the democratic transformation in Sudan.
The Sudanese government and the armed groups involved in the peace talks in Juba including SPLM-N Agar are expected to strike a peace deal soon as they have finalized an agreement on the power-sharing this week. In the coming days, they will discuss the security arrangements the only remaining issue."</t>
  </si>
  <si>
    <t>https://reliefweb.int/report/sudan/peace-will-allow-democratic-transition-sudan-arman</t>
  </si>
  <si>
    <t>"July 14, 2020 (KHARTOUM) - The initialling of the peace agreement between the Sudanese government and the armed has been delayed until a later date, due to the killing of a number of civilians in North Darfur and the need to strike a deal on the security arrangements."</t>
  </si>
  <si>
    <t>https://reliefweb.int/report/sudan/mediation-postpones-initialling-sudan-armed-groups-peace-deal</t>
  </si>
  <si>
    <t>The Partners for Sustainable Peace in Sudan Declaration</t>
  </si>
  <si>
    <t>"RIYADH — The “Friends of Sudan” held a high-level virtual meeting here on Wednesday to discuss the challenges the country is facing and to coordinate efforts to help Khartoum overcome them.
The eighth meeting of the group, which was hosted and chaired by Saudi Arabia, saw the participation of representatives from key countries and global organizations.
The meeting was opened by Prime Minister of Sudan Dr. Abdala Hamdok and Saudi Foreign Minister Prince Faisal Bin Farhan.
The Minister of Foreign Affairs and International Cooperation of South Sudan, Beatrice Khamisa Wani, and the chairman of South Sudan Government Committee for Peace Mediation in Sudan, Tut Galuak, also participated in the opening session as honorary guests.
The leaders of the Sudan Revolutionary Front, Sudan Liberation Movement-Minni Minawi, and the South Sudanese Mediation Team provided insights on challenges, opportunities, and the way forward to sustainable peace and security.
In addition, the King Salman Center for Relief and Humanitarian Aid Dr. Abdullah Al-Rabeeah and the Saudi Minister of State for African Countries, Ahmed Kattan, facilitated sections of the meeting focused on sustainable peace and economic recovery.
Representatives from Canada, Egypt, Ethiopia, France, Germany, Italy, Japan, Kuwait, Norway, Qatar, Saudi Arabia, Spain, Sweden, the African Development Bank, the African Union and the European Union, the International Monetary Fund, the League of the Arab States, the Netherlands, the United Arab Emirates, the United Kingdom of Great Britain and Northern Ireland, the United Nations, the United States, and the World Bank and the Government of Sudan participated in the meeting. Representatives of the Government of Sudan also participated and presented information on the economic reform process."</t>
  </si>
  <si>
    <t>https://saudigazette.com.sa/article/596565</t>
  </si>
  <si>
    <t>https://reliefweb.int/report/sudan/partners-sustainable-peace-sudan-declaration</t>
  </si>
  <si>
    <t>https://reliefweb.int/report/sudan/sudan-darfur-armed-groups-agree-unify-talks-security-arrangements</t>
  </si>
  <si>
    <t>"August 17, 2020 (JUBA) - The Sudanese government and the SPLM-N of the Sudanese Revolutionary Front (SPLM-N SRF) Monday initialled an agreement on security arrangements, ahead of initialling a comprehensive peace agreement between the government and the SRF in Juba on 28 August.
The initial signing ceremony took place in Juba, in the presence of a delegation from the Sudanese Sovereign Council and the Sudanese Minister of Defence, who led the government negotiating delegation, Yasir Arman the Movement Deputy Chairman and head of its negotiating delegation, in addition to the South Sudanese mediation, a Chadian delegation and another from the United Arab Emirates."</t>
  </si>
  <si>
    <t>https://reliefweb.int/report/sudan/sudan-splm-n-srf-initial-security-arrangements-agreement</t>
  </si>
  <si>
    <t>"August 23, 2020 (JUBA) - The Sudanese government and the Darfur armed groups still diverge on the integration of rebel combatants, which is the last sticky point in the negotiation about the security arrangements between the two parties.
The head of the mediation team between Tut Gatluak announced last Monday that the initial signing of the peace agreement will take place on August 28."</t>
  </si>
  <si>
    <t>https://reliefweb.int/report/sudan/sudan-darfur-groups-disagree-integration-rebel-combatants</t>
  </si>
  <si>
    <t>"Today’s signing of the peace agreement between the Sudanese government and the Sudan Revolutionary Front, an alliance of nine political and armed groups from different parts of the country including the conflict-torn states of Blue Nile, Darfur and South Kordofan, must deliver on people’s quest for dignity and justice, Amnesty International said today. The agreement followed ten months of negotiations in Juba, South Sudan."</t>
  </si>
  <si>
    <t>https://reliefweb.int/report/sudan/sudan-peace-agreement-must-deliver-people-s-quest-dignity-and-justice</t>
  </si>
  <si>
    <t>"Juba, 31 August 2020 – The Joint Special Representative for the African Union-United Nations Mission in Darfur (UNAMID), Jeremiah Mamabolo, today attended the initialing of a peace agreement between the transitional Government of Sudan, the Sudan Revolutionary Front (SRF) and Sudan Liberation Movement–Minni Minnawi (SLM/MM), in Juba, South Sudan."</t>
  </si>
  <si>
    <t>https://reliefweb.int/report/sudan/unamid-jsr-welcomes-progress-sudanese-peace-talks</t>
  </si>
  <si>
    <t>The term 'other' refers UNAMID's support of the peace processes and progress in Juba.</t>
  </si>
  <si>
    <t>"August 31, 2020 (JUBA) - The Sudanese government and the armed group in Darfur and the Two Areas Monday finally wrapped up a year of arduous negotiations by initialling a comprehensive agreement for peace in Sudan, amid a wide local and regional applauses and great media coverage.
The initial signing ceremony took place in Juba where the parties to the talks initialled eight protocols for each of the five tracks that included the Darfur region, the Two Areas, Central Sudan, eastern Sudan, and North Sudan.
The event was attended by representatives of IGAD countries, as well as ambassadors of Saudi Arabia and the United Arab Emirates, envoys from Egypt, the United States and the European Union."</t>
  </si>
  <si>
    <t>https://reliefweb.int/report/sudan/sudan-armed-groups-sign-landmark-peace-agreement</t>
  </si>
  <si>
    <t xml:space="preserve"> Peace Agreement </t>
  </si>
  <si>
    <t>"September 14, 2020 (KHARTOUM) - The Sudanese government announced its readiness to send a negotiating team to Juba to resume talks with the SPLM-North under the approach agreed on 3 September by the Prime Minister and the leader of the SPLM-N al-Hilu.
Hamdok-al-Hilu agreement on how to include the relation between the state and religion in the peace talks was discussed Monday in a meeting of the Supreme Peace Council chaired by the head of the Sovereign Council Abdel Fattah al-Burhan, with the participation of the prime minister and the transitional authority top officials."</t>
  </si>
  <si>
    <t>https://reliefweb.int/report/sudan/sudan-s-transitional-authority-endorses-hamdok-hilu-agreement-peace-talks</t>
  </si>
  <si>
    <t>"South Sudanese mediators arrived in Khartoum yesterday to prepare the signing ceremony of the comprehensive peace agreement by the Sudanese government and the Sudan Revolutionary Front (SRF) rebel alliance on October 3 in Juba. The Sudan People’s Liberation Movement-North led by Abdulaziz El Hilu (SPLM-N El Hilu) has criticised statements of the Sudanese High Peace Council.
South Sudan Security Advisor to the President and head of the mediation team Tut Galuak arrived in Khartoum yesterday, and handed the invitation from the South Sudanese President Salva Kiir personally to the chairman of the Sovereign Council, Lt Gen Abdelfattah El Burhan."</t>
  </si>
  <si>
    <t>https://reliefweb.int/report/sudan/south-sudanese-mediators-khartoum-prepare-signing-peace-deal</t>
  </si>
  <si>
    <t>Juba Agreement for Peace in Sudan</t>
  </si>
  <si>
    <t>https://constitutionnet.org/sites/default/files/2021-03/Juba%20Agreement%20for%20Peace%20in%20Sudan%20-%20Official%20ENGLISH.PDF</t>
  </si>
  <si>
    <t>"Juba, 03 October 2020 – The Joint Special Representative for the African Union-United Mission in Darfur (UNAMID), Jeremiah Mamabolo, today attended the formal signing of the peace agreement between the transitional Government of Sudan, the Sudan Revolutionary Front (SRF), the Sudan Liberation Movement–Minni Minnawi (SLM/MM) and Sudan People’s Liberation Movement-North (SPLM-N) of Malik Agar in Juba, South Sudan."</t>
  </si>
  <si>
    <t>https://reliefweb.int/report/sudan/unamid-jsr-congratulates-sudanese-parties-formal-signing-peace-agreement</t>
  </si>
  <si>
    <t>"GENEVA - Today, on the margins of UNHCR’s annual Executive Committee proceedings, the Foreign Ministers of Sudan and South Sudan held a meeting chaired by the UN High Commissioner for Refugees and attended by the Executive Secretary of the Intergovernmental Authority on Development (IGAD), and the European Union Commissioner for International Partnerships, at which they agreed to begin an IGAD-led regional initiative to seek solutions to protracted displacement in Sudan and South Sudan.
With the recent signing of the Juba Peace Agreement between Sudan’s Transitional Government and the Sudan Revolutionary Front and others on 3 October 2020, and the continued efforts in implementation of the Revitalized Agreement on the Resolution of the Conflict in South Sudan (R-ARCSS) signed on 12 September 2018, all parties present agreed it is a unique opportunity to find lasting solutions for displaced persons from the two countries."</t>
  </si>
  <si>
    <t>https://reliefweb.int/report/sudan/joint-statement-unhcr-igad-eu-and-governments-sudan-and-south-sudan</t>
  </si>
  <si>
    <t>"Zalingei-11 November; UNAMID’s Governance and Community Stabilization (GCSS) in collaboration with the Native Administration (NA), Peaceful Coexistence Committee (PCC) and local authorities conducted a two separate dialogue forums in Khartoum Jadid and Korgul return villages to prevent tension between farmers and herders during the current harvest season and to promote dialogue between the two communities in the targeted areas."</t>
  </si>
  <si>
    <t>https://reliefweb.int/report/sudan/unamid-conducts-dialogue-forums-prevent-tension-between-farmers-and-herders-north</t>
  </si>
  <si>
    <t>The Native Administration</t>
  </si>
  <si>
    <t>The Peaceful Co-Existence Committee</t>
  </si>
  <si>
    <t>"The mainstream Sudan Liberation Movement under the leadership of Abdelwahid El Nur (SLM-AW) is preparing to join the Sudanese peace process. El Nur has travelled to Kampala and has been invited to Juba.
South Sudanese chief negotiator Tut Galuak said in an interview with Sudan TV that El Nur accepted the invitation from President Salva Kiir. The leader of the Darfur holdout group will arrive in the South Sudanese capital Juba within the next two days with the aim of engaging in negotiations with the Sudanese government."</t>
  </si>
  <si>
    <t>https://reliefweb.int/report/sudan/holdout-darfur-rebel-movement-willing-negotiate-peace</t>
  </si>
  <si>
    <t>"Khartoum – Representatives of the governments of Sudan and the Republic of South Sudan agreed this week on a regional roadmap which will outline the next steps toward medium to long-term solutions for seven million forcibly displaced persons originating from and hosted by the two countries, and other States hosting displaced populations from both countries.
The Intergovernmental Authority on Development (IGAD), currently chaired by Sudan, UNHCR, the Refugee Agency and partners, welcomed the conclusions of this first technical-level meeting, building on the unprecedented opportunity to find lasting solutions for displaced persons from the two countries. The solution strategies will include refugees, IDPs, returnees and host populations and be advanced through the established IGAD Support Platform launched at the Global Refugee Forum."</t>
  </si>
  <si>
    <t>https://reliefweb.int/report/sudan/igad-unhcr-and-partners-welcome-first-meeting-sudan-and-south-sudan-solutions</t>
  </si>
  <si>
    <t>"January 25, 2021 (KHARTOUM) - The South Sudanese mediation presented a proposal to ensure a fair power-sharing between the armed groups that signed the Juba peace agreement with the Sudanese government on 3 October 2020.
In line with the peace deal, the armed groups shall participate in the transitional government together with the Forces for Freedom and Changes and the military component. They should get 75 parliamentary seats and 25% of the 26 cabinet’s portfolios.
However, different sources spoke about a disagreement over the power-sharing between the signatories of the peace agreement, noting that the Sudanese Revolutionary Front (SRF) has split into two factions since last year.
In a bid to end the power struggle between the SRF groups, the mediation submitted a proposal dated on 24 January seen by the Sudan Tribune."</t>
  </si>
  <si>
    <t>https://reliefweb.int/report/sudan/peace-mediators-propose-power-sharing-compromise-between-sudan-s-armed-groups</t>
  </si>
  <si>
    <t>28 March 2021, "Sudan’s government and a major rebel group have struck an agreement paving the way for peace negotiations between the two sides after months of deadlock.
Led by Abdelaziz al-Hilu, Sudan’s People Liberation Movement-North (SPLM-N) is one of two groups that has yet to sign a peace deal with the transitional authorities that have been in power in Sudan following the 2019 removal of longtime ruler Omar al-Bashir. The “declaration of principles” signed on Sunday in South Sudan’s capital, Juba, outlines priorities including the unification of armed forces and the establishment of a democratic, secular state with freedom of religion."</t>
  </si>
  <si>
    <t>https://www.aljazeera.com/news/2021/3/28/sudan-and-main-rebel-group-sign-agreement-to-restart-peace-talks</t>
  </si>
  <si>
    <t>https://reliefweb.int/report/sudan/world-food-programme-chief-congratulates-sudanese-government-and-rebel-group-steps</t>
  </si>
  <si>
    <t>"Supporting Regional Economic Communities strengthen efforts for effective peace processes in Sudan
ACCORD and the Intergovernmental Authority on Development (IGAD) Mediation Support Unit (MSU) collaborated on a Mediation and Negotiation Workshop on the ‘Engagement of the Sudanese Peace Process Negotiators of the Hold-Out Groups and SPLM-N’. The training took place from 26 – 28 March 2021 in Nairobi, Kenya.
The training was implemented at a time where Sudan’s transitional government is undertaking efforts to shift from the autocratic regime to a more democratic regime, one which embraces democratic processes and tenants which include but not limited to inclusion. Following the December 2018 revolution, and a major shift of political power in Sudan, many opposition groups have been engaged by the Transitional government. Non-signatories to the agreement, in particular the SPLM-N and SLA groups, who seek to resolve the secularization issue, have been brought together to enable dialogue for their effective participation in the peace process."</t>
  </si>
  <si>
    <t>https://reliefweb.int/report/sudan/accord-and-igad-conduct-mediation-and-negotiation-workshop-engagement-sudanese-peace</t>
  </si>
  <si>
    <t>The term 'other' refers to mediation training provided by IGAD.</t>
  </si>
  <si>
    <t>"The Special Representative of the UN Secretary-General for Sudan, Volker Perthes, will be traveling to Juba, South Sudan this week in advance of the upcoming round of peace talks scheduled for 25 May between the Transitional Government of Sudan and the Sudan People’s Liberation Movement – Abdalaziz Al-Hilu faction (SPLM/A-N). He will meet with the South Sudanese mediation team, SPLM/A-N, and other interlocutors."</t>
  </si>
  <si>
    <t>https://reliefweb.int/report/sudan/statement-unitams-forthcoming-travel-special-representative-secretary-general-sudan</t>
  </si>
  <si>
    <t>"On 17 May, the Paris Conference took place to support the Sudan’s historic transition towards democracy. Organised by French President Emmanuel Macron, the Conference aimed at marking the full reintegration of the country within the international community, launching the country’s debt relief process and encouraging private investments."</t>
  </si>
  <si>
    <t>https://www.eeas.europa.eu/node/98646_fr#:~:text=On%2017%20May%2C%20the%20Paris,Sudan's%20historic%20transition%20towards%20democracy.</t>
  </si>
  <si>
    <t>https://reliefweb.int/report/sudan/secretary-generals-video-message-international-conference-support-sudanese-transition</t>
  </si>
  <si>
    <t>"Axel van Trotsenburg, World Bank Managing Director Operations International Conference to Support the Sudanese Transition Paris, France
As Prepared for Delivery
President Macron, Excellencies, Ladies and Gentlemen:
On behalf of World Bank Group President David Malpass—an early and vocal champion of debt relief for Sudan, allow me to convey the optimism and sense of urgency with which we look forward to the HIPC Decision Point for Sudan.
Today is indeed a historical moment. We have waited 25 years for it. We launched the Highly Indebted Poor Countries (HIPC) in 1996, and much progress has been achieved in providing comprehensive debt relief. However, the biggest case – namely Sudan, always eluded us. Until now."</t>
  </si>
  <si>
    <t>https://reliefweb.int/report/sudan/speech-axel-van-trotsenburg-managing-director-operations-international-conference</t>
  </si>
  <si>
    <t>the Netherlands</t>
  </si>
  <si>
    <t>"On 17 May, France held a conference of Heads of State and Government in Paris, chaired by Emmanuel Macron, in support of Sudan’s democratic transition.
Chairman of the Sovereignty Council Abdel Fattah al-Burhan and Prime Minister Abdallah Hamdok represented Sudan.
The African Development Bank, the African Union, the League of Arab States, Canada, China, Egypt, Ethiopia, the European Union, Germany, Italy, Japan, Kuwait, the International Monetary Fund, the Netherlands, Norway, Qatar, Rwanda, Russia, Saudi Arabia, South Sudan, Spain, Sweden, the United Arab Emirates, the United Kingdom, the United Nations, the United States, and the World Bank have participated.
The participants welcomed Sudan’s return to the community of nations after more than three decades of isolation. The courage and determination of the Sudanese people, and especially of young people and women, have helped to defeat an authoritarian regime and have paved the way for a transition to democratic rule."</t>
  </si>
  <si>
    <t>https://reliefweb.int/report/sudan/chair-s-statement-international-conference-sudan-17-may-2021</t>
  </si>
  <si>
    <t>"The Secretary-General welcomes the start of peace talks today between the Government of Sudan and the Sudan People’s Liberation Movement – North Abdelaziz al Hilu faction, mediated by South Sudan in Juba. The United Nations Integrated Transition Assistance Mission in Sudan (UNITAMS) is represented at the talks by Special Representative Volker Perthes"</t>
  </si>
  <si>
    <t>https://reliefweb.int/report/sudan/secretary-general-welcomes-talks-between-sudan-al-hilu-group-calling-goodwill-and</t>
  </si>
  <si>
    <t>"May 25, 2021 (JUBA) – The Sudanese Prime Minister Abdallah Hamdok on Tuesday met in Juba with the SPLM-N led by Abdel Aziz al-Hilu 24 hours ahead of the opening session of the peace talks to end the conflict in South Kordofan and Blue Nile states. 'During the meeting, the two sides stressed the importance of the current round of peace negotiations that will start on Wednesday, and the need to engage in the talks with a strong determination to real will to achieve peace,' said the cabinet in a statement on Tuesday.
The opening session would be attended by President Salva Kiir, head of the Sovereign Council Abdel Fattah al-Burhan, Hamdok, US Special Envoy for Sudan Donald Booth and the Head of the United Nations Integrated Transition Assistance Mission in Sudan (UNITAMS) Volker Perthes.</t>
  </si>
  <si>
    <t>https://sudantribune.com/article67706/</t>
  </si>
  <si>
    <t>"JUBA, June 15 (Reuters) - Sudanese authorities adjourned talks on Tuesday with the most powerful rebel leader from the country's south, saying they had agreed on more than three-quarters of a framework peace deal.
A deal with Abdelaziz al-Hilu's Sudan People's Liberation Movement-North (SPLM-N) would be a big step in efforts to resolve decades of internal conflict in Sudan following the overthrow of former leader Omar al-Bashir in 2019."</t>
  </si>
  <si>
    <t>https://www.reuters.com/world/africa/sudan-says-progress-made-peace-talks-with-rebel-leader-2021-06-15/</t>
  </si>
  <si>
    <t>"Troika statement from the UK, Norway and USA:
Today, the governments of the United Kingdom, Norway and the United States (the Troika) signed the Juba Peace Agreement as Witnesses in a signal of political support to the Agreement. Having welcomed the Agreement in October 2020, this further step demonstrates our commitment to the success of the Agreement and its potential to help meet the calls of the Sudanese people for freedom, peace, and justice, including for those affected by conflict in Darfur, South Kordofan and Blue Nile states, as well as other historically marginalised parts of Sudan. We urge immediate steps to fully implement and adhere to the agreed timelines set forth in the transitional Constitutional Document and the Juba Peace Agreement, including the formation of key institutions such as the Transitional Legislative Council."</t>
  </si>
  <si>
    <t>https://reliefweb.int/report/sudan/witnessing-juba-peace-agreement-troika-statement-enar</t>
  </si>
  <si>
    <t>https://blnews.net/2021/06/juba-new-peace-talks/</t>
  </si>
  <si>
    <t>"On Friday, 13 August 2021, the Prosecutor of the International Criminal Court ("ICC" or "the Court"), Mr Karim A. A. Khan QC, concluded a week-long visit to Khartoum, Sudan. The visit represented Prosecutor Khan's first visit to Sudan in his capacity as ICC Prosecutor.
During the course of the visit, Prosecutor Khan held several productive meetings with officials of the Transitional Government of Sudan at the highest levels, and engaged with diplomatic corps and representatives of civil society organisations. Amongst others, meetings were held with General Abdel Fattah Abdelrahman al-Burhan, Chairman of the Transitional Sovereignty Council ("TSC") of Sudan; H.E. Mr Abdalla Hamdok, Prime Minister of Sudan; General Mohamed Hamdan Dagalo, Deputy Chairman of the TSC; Dr El Hadi Idris, Head of the Sudan Revolutionary Front (SRF) and member of the TSC; General Al-Tahir Hajar, Chair of the Sudan Liberation Forces Alliance and member of the TSC; H.E. Mr Nasredeen Abdulbari, Minister of Justice; H.E. Mrs Mariam Al-Mahdi Al-Sadig, Minister of Foreign Affairs; H.E. Mr Mubarak Mohammad Osman, Acting Attorney General; Mr Volker Perthes, Special Representative of the United Nations Secretary-General for Sudan and Head of UNITAMS, and the Heads of Missions of the United Kingdom, Norway, the United States, The Netherlands, Germany, European Union Delegation, Sweden and the People's Republic of China to Sudan; as well as the Resident Representative of the United Nations Development Programme ("UNDP").
The Prosecutor expressed his sincere appreciation to the authorities for facilitating his visit and for hosting him and his delegation, as well as for the good will and cooperation expressed and extended to his Office.
Prosecutor Khan's decision to travel to Sudan was motivated by various factors, including the nature of the crimes alleged, the rights of survivors, and the fact that this is the first situation referred to the ICC Prosecutor by the United Nations Security Council. During his discussions with the authorities and other stakeholders, the Prosecutor requested that the Government of Sudan further deepen its cooperation with his Office. In this regard, at the Prosecutor's request, a new Memorandum of Understanding ("MoU") was signed that includes all individuals against whom warrants of arrest have been issued by the ICC. The Office will be looking to work closely with the Sudanese authorities and other partners in the implementation of this new MoU."</t>
  </si>
  <si>
    <t>Memorandum of Understanding</t>
  </si>
  <si>
    <t>https://reliefweb.int/report/sudan/prosecutor-international-criminal-court-mr-karim-khan-qc-concludes-his-first-visit</t>
  </si>
  <si>
    <t>The term 'other' refers to the ICC's prosecutor's consultative meetings with various parties in Sudan.</t>
  </si>
  <si>
    <t>The term 'other' refers to the UN's facilitation of the ICC prosecutor's visit to Sudan.</t>
  </si>
  <si>
    <t>"UNITAMS will convene today and tomorrow a technical consultative meeting of the Permanent Ceasefire Committee of the Darfur Permanent Ceasefire and Final Security Arrangement of the Juba Agreement for Peace in Sudan. The meeting will discuss the implementation modalities of the Permanent Ceasefire Committee and its subsidiary mechanisms, and will include participants who are members of these entities (military and security officials, armed movement signatories), as well other stakeholders including representatives from the Transitional Government of Sudan, and from Darfur including the Regional Governor, Walis of Darfur States and their representatives, women’s protection networks and other civil society representatives.
UNITAMS is convening this first meeting in its capacity as Chair of the Permanent Ceasefire Committee. This is part of UNITAMS continued efforts to support the implementation of the Juba Peace Agreement and Sudan’s national priorities, in line with UNITAMS’ mandate as per United Nations Security Council Resolutions 2524 (2020) and 2579 (2021). Further consultations will take place in Darfur."</t>
  </si>
  <si>
    <t>https://reliefweb.int/report/sudan/statement-technical-consultative-meeting-darfur-permanent-ceasefire-committee-enar</t>
  </si>
  <si>
    <t>"Khartoum, 5 July 2021, The Special Representative of the United Nations Secretary-General, Volker Perthes, together with the Special Envoys to Sudan and South Sudan of Norway, the United Kingdom and the United States of America (the Troika) conducted an official mission to Kauda, South Kordofan on 2 to 3 July 2021. SRSG Perthes was also accompanied by country representatives of the United Nations Development Programme (UNDP), the World Food Programme (WFP) and the United Nations Children Fund (UNICEF).
The delegation met with representatives of the Liberation Council of Sudan People’s Liberation Movement – North Abdelaziz El Hilu faction (SPLM - N) and also with members of the civil administration, civil society, the Women’s Association and Christian and Muslim religious leaders.
SRSG Perthes commended the resilience of the people in the Nuba Mountains and Blue Nile having experienced tremendous suffering during the time of the former regime and the life they are building today."</t>
  </si>
  <si>
    <t>https://reliefweb.int/report/sudan/statement-srsg-perthes-visit-kauda-south-kordofan</t>
  </si>
  <si>
    <t>16th September 2021, "As part of her engagements with various state and non-state actors in Sudan, Mrs. Khardiata Lo N’Diaye, the Deputy Special Representative of the Secretary-General (DSRSG), Resident and Humanitarian Coordinator in Sudan, concluded a three-day consultative visit to El-Fashir, North Darfur State, aiming to get an insight on the current situation in the area and the best ways to implement UNITAMS’s mandate to support a successful transition in Sudan.
The DSRSG, RC/HC met with various stakeholders, including the Regional Governor of Darfur States, Wali of North Darfur State, signatories of the Juba Peace Agreement (JPA), leaders of IDPs and Women Groups, civil society organizations as well as the UN agencies and humanitarian organizations operating in Darfur."</t>
  </si>
  <si>
    <t>https://reliefweb.int/report/sudan/deputy-special-representative-secretary-general-resident-and-humanitarian-coordinator</t>
  </si>
  <si>
    <t>Friends of Sudan Group</t>
  </si>
  <si>
    <t>"France, Germany, Norway, Saudi Arabia, Sweden, the United Arab Emirates, the United Kingdom, the United States, the European Union and the United Nations, as members of the Friends of Sudan Group, condemn yesterday’s attempted disruption of Sudan’s civilian-led transition by rogue military elements in Khartoum. Any attempt to destabilize or undermine Sudan’s political transition and the democratic and pluralistic nature of the State as defined by the Constitutional Declaration will not be supported by the international community.
Such attempts jeopardize the significant progress Sudan has made on its political, economic and legal reform processes to build a new Sudan. They also undermine Sudan’s hard-won gains to fully re-join the international community and its commitment to a democratic state that respects international norms."</t>
  </si>
  <si>
    <t>https://reliefweb.int/report/sudan/friends-sudan-condemn-attempts-undermine-sudans-peaceful-political-transition-enar</t>
  </si>
  <si>
    <t>"Abyei, 20 October 2021 - Traditional Leaders’ consultative Conferences, organized separately for the Misseriya and Ngok Dinka communities by UNISFA’s Community Liaison Office took place in Diffra and Abyei on 13- 14 and on 18 - 19 October 2021 respectively.
The objective of the conferences was to provide a platform for dialogue towards building a more peaceful Abyei Area. A joint conference for the traditional leaders of the two communities, aimed at generating concrete solutions to guarantee peace and security for Abyei communities is scheduled to take place soon."</t>
  </si>
  <si>
    <t>https://reliefweb.int/report/sudan/traditional-leaders-conferences-ends-diffra-and-abyei</t>
  </si>
  <si>
    <t>"Multiple mediation efforts are underway in Sudan one week after the military seized power, UN Special Representative for the country, Volker Perthes, told journalists in New York on Monday.
Speaking from the capital, Khartoum, Mr. Perthes said the situation on the ground is “stable but very tense” in the wake of the takeover.
Last Monday, the Sudanese army dissolved the power-sharing transitional government and detained civilian Prime Minister Abdalla Hamdok and his cabinet.
The UN was quick to condemn the coup, and the arrests, and call for the restoration of constitutional order.
“Many of the interlocutors we are speaking with in Khartoum, but also internationally and regionally, are expressing a strong desire that we move forward quickly to get out of the crisis and return to the steps of normalcy, to the steps of political transition, as we viewed it before 25 October, on the basis of the Constitutional Declaration,” said Mr. Perthes."</t>
  </si>
  <si>
    <t>https://reliefweb.int/report/sudan/mediation-efforts-resolve-sudan-crisis-underway-un-envoy-reports</t>
  </si>
  <si>
    <t>https://www.reuters.com/world/africa/un-envoy-sudan-discusses-mediation-options-with-ousted-pm-after-major-protests-2021-10-31/</t>
  </si>
  <si>
    <t>https://reliefweb.int/report/sudan/friends-sudan-group-statement-ongoing-military-takeover-sudan-enar</t>
  </si>
  <si>
    <t>The Friends of Sudan Group (inlcuding the Troika) condemned the military coup.</t>
  </si>
  <si>
    <t>The AU condemned the military coup in Sudan</t>
  </si>
  <si>
    <t>https://reliefweb.int/report/sudan/communiqu-1041st-meeting-peace-and-security-council-african-union-held-26-october-2021</t>
  </si>
  <si>
    <t>https://reliefweb.int/report/sudan/srsg-statement-mediation-efforts-29-october-2021-enar</t>
  </si>
  <si>
    <t>"NOVEMBER 3, 2021
The Kingdom of Saudi Arabia, United Arab Emirates, the United States of America, and the United Kingdom affirm their countries’ stance with the people of Sudan and emphasize the importance of supporting their aspirations for a democratic and peaceful nation. The protests of October 30 demonstrated the depth of the Sudanese people’s commitment to advancing their country’s transition, and we remain committed to helping them achieve these aspirations."</t>
  </si>
  <si>
    <t>https://reliefweb.int/report/sudan/joint-statement-quad-sudan-kingdom-saudi-arabia-united-arab-emirates-united-states</t>
  </si>
  <si>
    <t>"As UNITAMS consultation sessions were in action, tensions between them and the African Union were mounting, as the union’s officials felt they should be playing a leading role in solving the political deadlock in Sudan. This position was also supported by the Sudanese military, as they felt that UNITAMS was intruding in the country’s national affairs beyond their mandate and eventually threatened to expel UNITAM’s head Volker Perthes."</t>
  </si>
  <si>
    <t>https://timep.org/commentary/analysis/the-stumbling-mediation-initiatives-in-the-post-coup-sudan/</t>
  </si>
  <si>
    <t>"The Special Representative of the Secretary-General for Sudan and Head of UNITAMS, Mr. Volker Perthes, in consultation with Sudanese and international partners, is formally launching a UN-facilitated intra-Sudanese political process which is aimed at supporting Sudanese stakeholders in agreeing on a way out of the current political crisis and agree on a sustainable path forward towards democracy and peace."</t>
  </si>
  <si>
    <t>https://reliefweb.int/report/sudan/statement-attributable-special-representative-secretary-general-sudan-announcement</t>
  </si>
  <si>
    <t>"The Quad (Saudi Arabia, United Arab Emirates, the United Kingdom, and the United States of America) welcome the announcement that the UN Interim Transition Assistance Mission to Sudan is facilitating discussions to resolve Sudan’s political crisis. We strongly support this UN-facilitated, Sudanese-led dialogue initiative. We urge all Sudanese political actors to seize this opportunity to restore the country’s transition to civilian democracy, in line with the 2019 Constitutional Declaration. We look forward to this being a results-oriented process that will guide the country towards democratic elections, in line with the Sudanese people’s manifest aspirations for freedom, democracy, peace, justice, and prosperity."</t>
  </si>
  <si>
    <t>https://reliefweb.int/report/sudan/quad-welcome-unitams-announcement-facilitating-discussions-resolve-sudan-s-political</t>
  </si>
  <si>
    <t>"The Consultations on a Political Process for Sudan are a UN-facilitated exercise to support Sudanese stakeholders in building consensus on the way forward for the country: to address the current political impasse and develop a path towards democracy and peace.
UNITAMS, which was established at Sudan’s request, is mandated to assist in the political transition, make progress towards democratic governance, and support the government in the promotion of human rights and sustainable peace. Through its good offices role under Security Council Resolution 2579 (2021), UNITAMS will work with all actors to develop an inclusive process that can build consensus on the path to a full civilian-led democratic transition.
The process that UNITAMS has launched will start with initial consultations with stakeholders including Government, political actors, peace partners, armed movements, civil society, resistance committees, women’s groups, and youth.
The UN has no position on the outcome of this process, which will be guided by the views of the Sudanese themselves. We will avail a range of capacities to maximize participation and ensure engagement across the political spectrum and across the country.
The outcome of this initial phase of consultations will feed into the design of further steps of the process. Subject to the outcome of the consultations and to the request of the parties, UNITAMS stands ready to facilitate additional steps at a later stage as may be required and potentially together with other partners."</t>
  </si>
  <si>
    <t>https://reliefweb.int/report/sudan/consultations-political-process-sudan-inclusive-intra-sudanese-process-way-forward</t>
  </si>
  <si>
    <t>"Since its launching on January 8, the UN-facilitated consultations on a political process for Sudan continued to engage a wide range of Sudanese stakeholders, including civil society (the and women’s groups, representatives from academia and lawyers as well as representatives from the FFC Central Committee, the Sudanese Communist Party, the Sudanese Congress Party, the Sudanese Professionals Association (SPA)and some Juba Peace Agreement signatories, including Malik Agar and Al Hadi Idriss.
These consultations are aimed at understanding the various perspectives and positions on the way forward to end current political impasse and develop a path towards democracy and peace."</t>
  </si>
  <si>
    <t>https://reliefweb.int/report/sudan/first-week-un-facilitated-consultations-political-process-sudan-brings-together-wide</t>
  </si>
  <si>
    <t>https://reliefweb.int/report/sudan/second-week-un-facilitated-consultations-political-process-sudan-enar</t>
  </si>
  <si>
    <t>https://reliefweb.int/report/sudan/un-facilitated-consultations-political-process-sudan-engage-darfur-stakeholders</t>
  </si>
  <si>
    <t>https://reliefweb.int/report/sudan/third-week-un-facilitated-consultations-political-process-sudan-broadens-engagement</t>
  </si>
  <si>
    <t>24/01/2022 "UNITAMS made further concrete steps to broaden the scope of consultations process launched earlier this month, with emphasis on engaging groups in all states of Sudan. SRSG Volker Perthes led a full day of consultations sessions, on Monday, with several Darfur-based groups including Darfur Resistance Committees, Darfur Women’s Groups, Darfur IDP representatives and Mr. Gibril Ibrahim, head of the Justice and Equality Movement (JEM). Earlier this week the SRSG and UNITAMS team held sessions with representatives from MANSAM, the Baath Arab Socialist Party and Mr. Alsadiq Samal, a vocal Sudanese activist and parent of martyr."</t>
  </si>
  <si>
    <t>27/01/2022 "Representatives of political and civil society groups convened in consultation sessions at UNITAMS’ headquarters in Khartoum last week. The UN-facilitated consultations on a political process for Sudan launched by SRSG Volker Perthes on January 8 continued to provide space for Sudanese stakeholders to present their views and visions on the way forward for democratic transition in Sudan."</t>
  </si>
  <si>
    <t>21/01/2022 "In its second week, since launched by SRSG Volker Perthes on 8 January, UN-facilitated consultations on a political process for Sudan continued engaging with Sudanese stakeholders. Due to ongoing roadblocks and the closure of bridges, making access to UNITAMS a challenge, some consultations planned for this week had to be rescheduled. Consultations were held with representatives from the Women's Agenda; the National Umma Party; the Sudan Liberation Army-Transitional Council (SLA-TC), the Democratic Unionist Party and the FFC Central Committee.
During these consultations' participants offered concrete suggestions on the way forward for transition and presented views regarding the scope and parameters of the consultations process, including ways of enhancing international support. Significant parts of the discussions tackled immediate priority issues, including ending the violence, and addressed the root causes of the current crisis."</t>
  </si>
  <si>
    <t>"Welcomes the efforts by the Chairperson of the AU Commission in using his good offices to accompany Sudan during the transition pursuant to the decision adopted through Communique [PSC/PR/COMM.1050 (2021)] at its 1050th meeting held on 24 November 2021, including the recent deployment of the AU Commissioner for Political Affairs, Peace and Security (PAPS) as an Emissary to Sudan on 15 to 16 January 2022, wherein a special message was delivered to General Abdel Fattah Al-Burhan, Chairman of Sovereign Council; in this regard, endorses the Report of the AU Commissioner for PAPS, its key findings and recommendations;"</t>
  </si>
  <si>
    <t>https://reliefweb.int/report/sudan/communique-1060th-meeting-psc-held-25-january-2022-situation-sudan</t>
  </si>
  <si>
    <t>"Welcomes the efforts by the Chairperson of the AU Commission in using his good offices to accompany Sudan during the transition pursuant to the decision adopted through Communique [PSC/PR/COMM.1050 (2021)] at its 1050th meeting held on 24 November 2021, including the recent deployment of the AU Commissioner for Political Affairs, Peace and Security (PAPS) as an Emissary to Sudan on 15 to 16 January 2022, wherein a special message was delivered to General Abdel Fattah Al-Burhan, Chairman of Sovereign Council; in this regard, endorses the Report of the AU Commissioner for PAPS, its key findings and recommendations;
Also welcomes the subsequent mission of the Deputy Chairman of the Sudanese Sovereign Council to Addis Ababa, Ethiopia, and his engagement with the Chairperson of the AU Commission, and requests the Chairperson of the AU Commission to intensify engagements with the Sovereign Council of Sudan and all other stakeholders, to consider undertaking a follow-on mission to Sudan to consolidate efforts aimed at restoring peace and stability to pave the way for reconstruction and economic recovery in that country;
Tasks the AU Commission, in consultations with all relevant stakeholders, to establish a mechanism aimed at supporting Sudan and coordinate the international community efforts, and ensure the full involvement of the AU in supporting Sudan;
Notes all international efforts aimed at finding a sustainable solution to the current crisis in Sudan, including the initiative of the United Nations Integrated Transition Assistance Mission in Sudan (UNITAMS), and stresses the need for the African Union to coordinate the international community efforts in Sudan in order to harmonize efforts aimed at resolving the crisis in Sudan;"</t>
  </si>
  <si>
    <t>"More than 20 groups representing various civil society, women’s rights organizations, political parties, academics, and national experts engaged in sessions of the UNITAMS-facilitated consultations for a political process in Sudan during its fourth week.
This past week, SRSG Perthes and UNITAMS teams conducted consultation sessions with groups such as the Popular Congress Party; a group of academics; the Forces of Freedom and Change (Charter Group); Sudanese Business Federation;; Unified Unionist Party; Allia​nce of Civil Society Organisations; Group of People’s Hope; an Initiative of Journalists &amp; Writers; the December 2018 Martyrs Families Organization; a group of Eastern Sudan Political Parties; the Women of the FFC; Middle Trend for Change; Tamazoj; a group of young women activists; Ebaa Organization for Development; a group of gender and academic experts; Juba Peace Agreement East Track signatories and Beja political parties from East Sudan; Free Unity of Sudanese Forum; a group of Veterans and War Victims; Sudanese Revolutionary Free Youth Gathering; women’s groups from South, North and West of Kordofan; Binaa al Sudan Party; and the National Democratic Movement Party."</t>
  </si>
  <si>
    <t>https://reliefweb.int/report/sudan/sudanese-stakeholders-continue-offer-perspective-overcoming-current-political-crisis</t>
  </si>
  <si>
    <t>"A full month of almost daily sessions with a diverse range of groups including civil society, women’s rights organizations, resistance committees, political parties, young women activists, academics, journalists, youth, persons with disabilities, veterans, diaspora, JPA signatories, and national experts- has concluded this week, marking the end of first stage of consultations launched by UNITAMS on January 8th.
During its last week, consultations brought SRSG Perthes and the UNITAMS team together with more than 35 groups. These include the Unified Doctors Office, Forces of Freedom and Change, Sudan Liberation Movement, Sudanese Alliance, Sudan Liberation Movement 2, women’s groups from the northern, central and eastern states, the Sudanese Bar Association, Sudan National Alliance, the Republican Party, the Attorney General, the Sudan Revolutionary Front, the Sudanese diaspora, Members of the Union of People with Speech-Hearing Disabilities, Forces of Freedom and Change (National Charter), the Chief Justice, young women activists, Alliance of Independent Revolution Committees, representatives of civil society organizations from East Sudan, the Sudanese Professionals Association, the Alliance of Civil Forces in Central States, the National Reform Party, a women’s group and resistance committees from Blue Nile State, Forces of Freedom and Change (National Forces), a group of Sufi Sheikhs and members of the General Sufi Complex, representatives of the High National Association of Nomads and Herders in Darfur, the Darfur Region Administration for IDPs &amp; Refugees and Youth Volunteers Supporting Peace and Recovery in Darfur."</t>
  </si>
  <si>
    <t>https://reliefweb.int/report/sudan/first-stage-un-facilitated-consultations-political-process-concludes-inspiring-visions</t>
  </si>
  <si>
    <t>https://reliefweb.int/report/sudan/summary-paper-consultations-political-process-sudan-inclusive-intra-sudanese-process</t>
  </si>
  <si>
    <t>"Canada, France, Germany, Italy, the Kingdom of Saudi Arabia, the Netherlands, Norway, Spain, Sweden, United Arab Emirates, the United Kingdom, the United States of America, and the European Union as members of the Friends of Sudan reiterate our strong support for the combined efforts of the UN Integrated Transition Assistance Mission to Sudan (UNITAMS), the African Union (AU), and the Intergovernmental Authority on Development (IGAD) to facilitate a Sudanese-led political process with the aim of restoring a civilian-led transition to democracy. We applaud these actors’ ongoing efforts to consult with a broad range of Sudanese stakeholders. We look forward to the imminent launch of the next phase of the talks with the aim of building consensus around the structure of credible, civilian-led institutions that will lead Sudan through a revived civilian-led transition period, culminating in free and fair democratic elections. The urgency cannot be overstated. We, therefore, urge constructive engagement of all stakeholders in this next phase and underscore the importance of ensuring women, as well as youth, and other historically marginalized groups enjoy full, effective, and meaningful participation and inclusion throughout every stage of the process.
We welcome the progress made so far through the cooperation of Sudanese stakeholders and the combined efforts of UNITAMS, the AU, and IGAD. For this UNITAMS-AU-IGAD-facilitated political process to succeed, an enabling environment that allows all stakeholders to participate and freely express their views must be created, and Sudanese citizens must be protected from all kinds of violence. We welcome the commitments of the Sudanese authorities in this regard and encourage their implementation. Full respect for freedoms of association, expression, and peaceful assembly is vital, as is protection of property."</t>
  </si>
  <si>
    <t>https://reliefweb.int/report/sudan/friends-sudan-joint-statement-unitams-au-igad-facilitated-political-process</t>
  </si>
  <si>
    <t>"Senior officials from France, Germany, Norway, the United Kingdom, the United States of America, and the European Union have concluded a joint visit to Khartoum to show support for the people of Sudan and a civilian-led transition towards democracy.
They called for immediate progress towards a civilian transitional government, agreed through the Sudanese-led political process being facilitated by the United Nations Integrated Transition Assistance Mission to Sudan (UNITAMS), the African Union (AU), and the Inter-Governmental Authority on Development (IGAD). In this respect they welcomed the facilitators’ announcement that they would convene a meeting to this end on 10-12 May. They called upon all Sudanese stakeholders to participate constructively and fully in this process and pointed out the dangers of any further delay. The delegation warned against any agreement or government resulting from non-inclusive processes which would lack credibility with the Sudanese public and the international community."</t>
  </si>
  <si>
    <t>https://reliefweb.int/report/sudan/sudan-joint-press-statement-france-germany-norway-united-kingdom-united-states-america</t>
  </si>
  <si>
    <t>"Khartoum Authorities ‘Cannot Act Alone’, Stresses Permanent Representative, Calling for Support to Improve Darfur Security Situation
The lack of progress on the political track will result in humanitarian disaster in Sudan, the Head of the United Nations special political mission in that country told the Security Council today, as members diverged over the conditions under which international support should be provided.
Volker Perthes, Special Representative of the Secretary-General and Head of the United Nations Integrated Transition Assistance Mission in Sudan (UNITAMS), told members that the situation has remained precarious since his last briefing. “Time is short for the Sudanese to reach a political solution to forge a way out of this crisis,” he warned, emphasizing that it is up to the Sudanese authorities to create an environment conducive to the success of the trilateral mechanism — involving the United Nations, the African Union and the Intergovernmental Authority on Development (IGAD) — to facilitate intra-Sudanese dialogue."</t>
  </si>
  <si>
    <t>https://reliefweb.int/report/sudan/lack-progress-political-track-will-lead-humanitarian-disaster-sudan-secretary-generals-special-representative-warns-security-council</t>
  </si>
  <si>
    <t>"Since we have established a “trilateral mechanism” to facilitate Sudan-Sudan talks, myself, the AU and the IGAD Envoys have stated that these talks will only succeed in a conducive environment. We also said that it is up to the Sudanese, particularly the authorities, to create this environment. And indeed, since I last briefed you on this subject in March, some positive steps have been taken in this regard. From late March through today, the Sudanese authorities have released at least 86 detainees, including high profile officials affiliated with the work of the so-called Dismantling Committee and the violence against protestors by security forces appears to have decreased, overall though regretfully violations still happen."</t>
  </si>
  <si>
    <t>https://reliefweb.int/report/sudan/unitams-srsg-mr-volker-perthes-remarks-security-council-24-may-2022</t>
  </si>
  <si>
    <t>"KHARTOUM, 7 September 2022 - UNICEF and the United Nations World Food Programme (WFP) launched a new joint programme today to strengthen resilience and social cohesion among communities in Darfur.
The four-year joint programme is funded by the German Federal Ministry for Economic Cooperation and Development (BMZ) through the KfW German Development Bank.
This is a unique programme that aims to provide long-term solutions by tackling underlying barriers to peace, stability and development to nearly 300,000 vulnerable Sudanese across South, Central and North Darfur, who have been adversely affected by conflict, climate change, natural disasters, and economic downturns.
The first of its kind at its scale in Sudan, the programme takes a holistic and inclusive approach that will enable communities to better withstand multiple shocks and plant the seeds for peaceful coexistence among diverse populations."</t>
  </si>
  <si>
    <t>https://reliefweb.int/report/sudan/sudan-wfp-and-unicef-launch-new-bmz-kfw-funded-joint-programme-strengthen-resilience-and-social-cohesion-darfur-enar</t>
  </si>
  <si>
    <t>The term 'other' refers to the launch of a humanitarian programme that seeks to foster peaceful coexistence between diverse groups.</t>
  </si>
  <si>
    <t>"As the uprising unfolded, al-Bashir lost his few remaining allies. None of his foreign sponsors came to the rescue. On December 24, when Gen. Mohammed Hamdan Daglo, known as Hemedti, the head of the paramilitary Rapid Support Forces, came out supporting demonstrators’ demands, it became clear that the loyalty of the military and security apparatus was shaky. In mid-February, as demonstrations continued unabated, the head of the security service Salah Gosh and the UAE reportedly offered al-Bashir an exit plan, which he refused.  The Emiratis began to reach out to opposition groups; so did Gosh, who visited prominent leaders in prison.[11]"</t>
  </si>
  <si>
    <t>https://pomeps.org/the-great-game-of-the-uae-and-saudi-arabia-in-sudan</t>
  </si>
  <si>
    <t>"On 7 April 2019, a day after revolutionary demonstrators began a sit-in in front of the military’s headquarters, Gen. Jalal al-Dine el-Sheikh, the deputy head of the security service, headed a delegation of military and intelligence officials to Cairo, where he sought the support of Egypt, Saudi Arabia and the UAE for a coup against al-Bashir. The three countries then reportedly reached out to Abdelfattah al-Burhan, a military general who had coordinated the Sudanese military’s operations in the Saudi-led coalition in Yemen, and Hemedti, who had also deployed there as head of the RSF. Egypt offered Bashir exile in Saudi Arabia. Again, he refused. A few days later, on 11 April, leaders of the military and security apparatus, including al-Burhan and Hemedti, overthrew him, installing a Transitional Military Council (TMC) to rule the country.[12] This coup gave an opportunity for the UAE, Saudi Arabia and Egypt to finally bring Sudan into their axis. They threw their weight behind the TMC, and in particular Hemedti, who had already acquired considerable financial resources in the last year of al-Bashir’s rule thanks to the deployment of the RSF in Yemen and his exports of Sudan’s gold to Dubai.[13]Within ten days, the UAE and Saudi Arabia had promised $3 billion of direct aid to the new regime. While revolutionaries continued their sit-in, demanding radical political change, Egypt lobbied the African Union to discourage a suspension of Sudan’s membership.[14]"</t>
  </si>
  <si>
    <t>"On 3 June, after a visit by Hemedti to Riyadh, Cairo and Abu Dhabi (Crisis Group 2019:12), RSF and police forces cracked down on the Khartoum sit-in, killing more than 130 people and sparking indignation in Sudan and abroad. The event prompted the US and the UK, after weeks of passivity, to pressure the UAE and Saudi Arabia.[25] Emirati and Saudi officials, reportedly concerned that Hemedti had gone too far and was precipitating instability, used their influence on the TMC to push for a deal with the opposition.[26] They began to publicly call for “dialogue”, and to work behind the scenes alongside the UK and the US to broker a deal.[27]"</t>
  </si>
  <si>
    <t>The term 'other' refers to the establishement of ties with specific groups in the conflict.</t>
  </si>
  <si>
    <t>"After the signing of the constitutional declaration, which laid out a roadmap to a constitutional conference and elections, the UAE and Saudi Arabia provided support to the new government, funneling $200 million monthly in cash and commodity subsidies to the government for the second half of 2019.[31] In line with this new alignment, the Sudanese government, though desperate for cash, turned down an offer to send a delegation to Qatar in exchange for $1 billion in financing.[32]
Domestically, the new alliance between the FFC and the former TMC members dramatically reconfigured the Sudanese state at the expense of the NCP, in line with Gulf backers’ hostility towards the Muslim Brotherhood. Top NCP representatives faced jail and their assets were seized. Al-Burhan, who had served as the military’ coordinator with the ruling party,[33] pivoted to please his patrons and purged many who were too clearly identified as Islamists from the military and the security service.[34] UAE influence came to pervade the Sudanese political scene. Hemedti, whom a diplomat described as “the agent and the proxy of the Emirates”,[35] consolidated his position as a central player thanks to his ability to buy off potential dissenters and competitors.[36] Sudan Call’s leaders, such as Yasir Arman and Sadig al-Mahdi, the leader of the Umma Party, continued to express public support to the participation of the military in the transition and worked to marginalize leftist groups not affiliated to the UAE.[37]"</t>
  </si>
  <si>
    <t>"After the signing of the constitutional declaration, which laid out a roadmap to a constitutional conference and elections, the UAE and Saudi Arabia provided support to the new government, funneling $200 million monthly in cash and commodity subsidies to the government for the second half of 2019.[31] In line with this new alignment, the Sudanese government, though desperate for cash, turned down an offer to send a delegation to Qatar in exchange for $1 billion in financing.[32]"</t>
  </si>
  <si>
    <t>"First, the Emiratis have sponsored a peace process that puts the generals front and center. The constitutional declaration was unclear about who, in the new power configuration, should be in charge of negotiations with armed groups from Darfur, Southern Kordofan and Blue Nile – a priority for the transition.[38] The generals seized on this ambiguity. Hemedti and Gen. Shamseddine al-Kabbashi, another former member of the TMC, wrested the process from the cabinet, heading government delegations in Juba, where the negotiations have been taking place with financial backing from the UAE. Abu Dhabi has used its influence with armed groups to push for a deal that would put the generals in the positions of peacemakers, though internal divisions between the RSF and SAF and the FFC’s belated effort to join the talks have been stumbling blocks (by the spring of 2020, Hemedti was happy to leave the file to al-Kabbashi).[39]"</t>
  </si>
  <si>
    <t>22/09/2022 "Forty women from civil society organizations, women’s groups, political parties, armed movements, and academia came together over two weeks and produced a joint gender-responsive constitutional vision in a series of workshops organized by UNITAMS in close collaboration with UNDP. The women presented today to the Trilateral Mechanism and representatives of the diplomatic community an outcome document consisting of guiding principles and key clauses to be included in any upcoming constitutional document to ensure women’s rights and meaningful participation in Sudan. “Recognizing the role of women and their meaningful participation in the success of the revolution, we affirm our commitment to the principles of gender equality in all aspects of political, economic, social, cultural, developmental and environmental spheres,” the women stated in the preamble of their proposal."</t>
  </si>
  <si>
    <t>https://reliefweb.int/report/sudan/women-leaders-present-gender-responsive-constitutional-vision-representatives-international-community-enar</t>
  </si>
  <si>
    <t>16/10/2022 "The Trilateral Mechanism welcomes recent momentum towards reaching a solution to the political crisis in Sudan beginning with forming a credible civilian government to steer Sudan through the transition to democracy and peace.
In this context, the Mechanism is encouraged by recent statements made by Lt. General Abdul Fattah Al Burhan, the President of the Transitional Sovereign Council, indicating progress towards reaching a political agreement with civilian forces on transitional arrangements and guarantees for a more stable transitional period that ends with transparent and fair elections."</t>
  </si>
  <si>
    <t>https://reliefweb.int/report/sudan/trilateral-mechanism-welcomes-momentum-towards-solution-enar</t>
  </si>
  <si>
    <t>https://reliefweb.int/report/sudan/communique-1117th-meeting-peace-and-security-council-held-2-november-2022-updated-briefing-situation-sudan</t>
  </si>
  <si>
    <t>National Democratic Institute</t>
  </si>
  <si>
    <t>01/12/2022 "Eighty women residents of Khartoum met over two workshops to discuss women’s priorities for the transition and beyond. The workshops in Khartoum launched a nation-wide consultative process organized by the United Nations Integrated Transition Assistance Mission (UNITAMS) in partnership with the National Democratic Institute (NDI). The process will consist of two consultations in every state, with each consultation bringing together women from civil society organizations, political parties, women’s groups, armed movements, internally displaced persons as well as academics, experts and active members of professional associations and networks. The consultations will also target the women working in informal sectors, such as tea and food sellers, domestic workers, as well as home caretakers."</t>
  </si>
  <si>
    <t>https://reliefweb.int/report/sudan/unitams-launches-nation-wide-initiative-consult-women-their-priorities-transition-and-beyond-enar</t>
  </si>
  <si>
    <t xml:space="preserve">The term 'other' refers to support given to the Tripartite mediation efforts and the signing of the agreement. </t>
  </si>
  <si>
    <t>"Statement from Norway, Saudi Arabia, the United Arab Emirates, the UK and the USA:
Members of the Quad and Troika (Norway, the Kingdom of Saudi Arabia, the United Arab Emirates, the United Kingdom, and the United States) welcome the agreement of an initial political framework. This is an essential first step toward establishing a civilian-led government and defining constitutional arrangements to guide Sudan through a transitional period culminating in elections. We commend the parties’ efforts to garner support for this framework agreement from a broad range of Sudanese actors and their call for continued, inclusive dialogue on all issues of concern and cooperation to build the future of Sudan.
We urge all Sudanese actors to engage in this dialogue urgently and in good faith. We acknowledge the military has made clear it is ready to step back from politics and engage constructively in the ongoing dialogue. We call on all parties to put Sudan’s national interest above narrow political ends. We also fully support the UNITAMS-AU-IGAD (the Tripartite Mechanism) role in facilitating these negotiations and call on all parties to do the same. Quad and Troika members support this Sudanese-led process and condemn spoilers attempting to restrict political space and undermine Sudan’s stability and democratic transition.
A concerted effort to finalize negotiations and reach agreement quickly to form a new civilian-led government is essential to address Sudan’s urgent political, economic, security, and humanitarian challenges. This is the key to unlocking the resumption of international development assistance and deeper cooperation between the government of Sudan and international partners. We are working with partners to coordinate significant economic support to a civilian-led transitional government to help address the challenges facing the people of Sudan."</t>
  </si>
  <si>
    <t>https://www.gov.uk/government/news/sudan-quad-and-troika-joint-statement-december-2022</t>
  </si>
  <si>
    <t>Turkiye</t>
  </si>
  <si>
    <t>https://www.mfa.gov.tr/no_-368_-sudan-daki-gelismeler-hk.en.mfa</t>
  </si>
  <si>
    <t>Political Framework Agreement</t>
  </si>
  <si>
    <t>"The signing of the framework agreement marked the first step in a two-phase process. 
Though describing it as an important breakthrough, Mr. Perthes said “critical contentious issues” will need to be addressed in the final accord.   
They include security sector reform and the merger of forces, transitional justice, and implementation of the 2020 Juba Peace Agreement signed by the transitional government and several armed groups in Darfur. 
Meanwhile, UNITAMS and the UN Country Team in Sudan have already begun to coordinate with the international community d to ensure a “package” of support for a new transitional period."</t>
  </si>
  <si>
    <t>https://news.un.org/en/story/2022/12/1131462</t>
  </si>
  <si>
    <t>"3. The trilateral mechanism, consisting of the United Nations, the African Union and the Intergovernmental Authority on Development (IGAD), continued its efforts to support Sudanese stakeholders in fostering a political agreement. Several local political initiatives focused on arrangements for a possible future transitional period were put forward by political and civilian forces. On 10 September, the Sudanese Bar Association presented its draft constitution to the mechanism. The draft was developed by a committee composed of various political party groupings, civil society organizations and prominent academics. It was signed by the Forces for Freedom and Change (FFC)-Central Council, the Democratic Unionist Party (DUP)-Original, the Popular Congress Party and Ansar al-Sunna, among other groups, as well as a range of civil society organizations, women’s groups and professional associations.
4. In subsequent weeks, the signatories of the Sudanese Bar Association draft constitution continued their efforts to broaden their support base, build consensus and address the remaining issues in the text with a view to setting the stage for negotiations with the military. In parallel, bilateral negotiations between some signatories of the draft constitution and the military resulted in a preliminary understanding on key issues between them. On 24 October, the trilateral mechanism received comments from the military based on that preliminary understanding and was asked by the military to launch a structured political process to facilitate negotiations on the remaining differences. Subsequently, the mechanism engaged intensively with the stakeholders to facilitate political talks aimed at reaching a broadbased civilian and military agreement. On 6 November, in a speech to soldiers and officers at Hattab military base in Khartoum, the Chairperson of the Sovereign Council and the Commander of the Sudanese Armed Forces, Lieutenant General Abdel-Fattah Al-Burhan, in the presence of the Chief of Staff and Heads of Units, confirmed that understandings had been reached with the civilian component, underscoring that the military was not aligned with any political group, and warned the National Congress Party, the Islamist Movement and others that they would not be allowed to return through the armed forces. On 13 November, Lieutenant General Al-Burhan spoke at the Markhiyat operational base reiterating similar messaging.
5. The Sudan Liberation Movement-Transitional Council and the Gathering of the Sudan Liberation Forces, both signatories of the Juba Agreement for Peace in the Sudan, participated in the work of the Sudanese Bar Association. Meanwhile, non-signatories reiterated their refusal to participate. The Sudan Liberation Movement-Abdel Wahid (SLM/AW) faction rejected dialogue with the military. The Sudan People’s Liberation Movement-North (SPLM-N) Abdelaziz al-Hilu faction criticized the document for its failure to address the root causes of the conflict. Peace talks between the latter faction and the Government of the Sudan have not yet resumed, pending the restoration of a civilian Government and a return to constitutional order.
6. Other civilian forces also presented alternative visions for the transitional period. On 28 September, the resistance committees of Khartoum published a document, entitled The Revolutionary Charter to Establish People’s Power, which was signed by some committees from 18 states across the Sudan. The Charter was intended to unify the resistance committees around a broad political vision that included a revolutionary legislative council, formed through a grass-roots process, that would serve as the supreme authority and through which the Prime Minister would be selected. On 8 October, FFC-National Consensus (which includes some signatories of the Juba Peace Agreement), FFC-National Forces, DUP-Original and other parties signed a political declaration that included a proposal for amending the 2019 Constitutional Document"</t>
  </si>
  <si>
    <t>https://reliefweb.int/report/sudan/situation-sudan-and-activities-united-nations-integrated-transition-assistance-mission-sudan-report-secretary-general-s2022898-enar</t>
  </si>
  <si>
    <t>"Volker Perthes, Special Representative of the Secretary-General for Sudan and Head of the United Nations Integrated Transition Assistance Mission in Sudan (UNITAMS), noted that military leadership and political actors signed a political framework on Monday, 5 December, which may lead to the formation of a new civilian Government and democratic elections over a two-year transition phase. On 24 October, the Trilateral Mechanism — the African Union, Intergovernmental Authority on Development and UNITAMS — received a document from the military leadership with their comments and amendments to the draft constitutional document, representing a significant breakthrough."</t>
  </si>
  <si>
    <t>https://reliefweb.int/report/sudan/despite-multiple-remaining-crises-top-official-sudan-expresses-optimism-two-year-transitional-phase-leading-civilian-rule-democratic-elections</t>
  </si>
  <si>
    <t>"the first phase has now been concluded with the signing of the political framework agreement. The second phase is about to begin. And the events of the last two days are actually the reason for me not being in New York today but talking to you from Khartoum. Encouragingly, both civilian and military stakeholders have become more transparent about preliminary understandings and have increased their efforts to reach out to other actors and to the public. A final political agreement, once reached, will lead to a civilian government that should be in a better position to address the security, humanitarian and economic situation, should pave the way towards building a democratic state based on human rights, rule of law and gender equality, and provide a future for the young men and women of Sudan. It will also allow for resumption of peace talks with movements that that have yet to make peace with the government, and for the restoration of broad-based international support to Sudan."</t>
  </si>
  <si>
    <t>https://reliefweb.int/report/sudan/unitams-srsg-mr-volker-perthes-remarks-security-council-8-dec-2022-enar</t>
  </si>
  <si>
    <t>"The members of the Security Council welcomed the signing of the Sudan Political Framework Agreement on 5 December. They underscored that this was an essential step towards the forming of a civilian-led Government and defining constitutional arrangements to guide Sudan through a transitional period culminating in elections.
The members of the Security Council commended the trilateral mechanism of the United Nations Integrated Transition Assistance Mission in the Sudan (UNITAMS), African Union and the Intergovernmental Authority on Development (IGAD), for supporting Sudanese efforts to restore a lasting, inclusive and democratic political settlement in Sudan."</t>
  </si>
  <si>
    <t>https://reliefweb.int/report/sudan/security-council-press-statement-sudan-sc15132</t>
  </si>
  <si>
    <t>"The Secretary-General welcomes the signing of a framework agreement between civilian political forces and the military in Sudan. He hopes that this can pave the way for the return to a civilian-led transition in the country. He calls on all Sudanese stakeholders to work without delay on the next phase of the transition process to address outstanding issues with a view to achieving a lasting, inclusive political settlement."</t>
  </si>
  <si>
    <t>https://reliefweb.int/report/sudan/secretary-general-welcomes-framework-agreement-sudan-between-civilian-political-forces-military-urging-stakeholders-work-towards-lasting-settlement</t>
  </si>
  <si>
    <t>"The Secretary-General welcomes the launch of the final phase in the political process towards restoring a civilian-led transition in Sudan. This step builds on the progress achieved upon the signing of the Political Framework Agreement on 5 December 2022 and marks another important step forward towards realizing the aspirations of the Sudanese people for democracy, peace and sustainable development.
The United Nations, through the Trilateral Mechanism comprised of the United Nations Integrated Transition Assistance Mission in the Sudan (UNITAMS), the African Union and the Intergovernmental Authority on Development (IGAD), remains committed to supporting the process and to help secure a final political agreement over the coming weeks."</t>
  </si>
  <si>
    <t>https://reliefweb.int/report/sudan/secretary-general-welcomes-sudans-launch-final-phase-political-process-towards-restoring-civilian-led-transition</t>
  </si>
  <si>
    <t>https://reliefweb.int/report/sudan/sudan-political-process-enters-decisive-phase-requiring-wide-participation-enar</t>
  </si>
  <si>
    <t>30/01/2023 "In this stage, the Trilateral Mechanism is playing a facilitation role by providing technical support and proposals to the different stakeholders and enabling discussions among them. This is not limited to the signatories of the framework agreement but involves the participation of the main revolutionary forces that have expressed reservations about the framework agreement. Their voices in these discussions are necessary and important, to ensure the implementation and sustainability of the resulting agreement. The sharp rejectionist position taken by some revolutionary forces in Sudan against this framework agreement should prompt pro-democracy forces to work harder to involve these skeptical voices and ensure their contribution in developing a consensual agreement to overcome these reservations. The common goal, after all, is to establish a civilian government and lay the foundations for democratic governance. The process of change and transition towards democracy in Sudan is a gradual one, and it will not achieve all of its goals overnight. The forces that want to democratize Sudan may differ about the best way to reach this goal. But unites them is much more than what divides them."</t>
  </si>
  <si>
    <t>Troika</t>
  </si>
  <si>
    <t>The Troika released a statement pressuring parties in South Sudan to deliver on their commitments to the R-ARCSS and form a national unity government.</t>
  </si>
  <si>
    <t>https://reliefweb.int/report/south-sudan/south-sudan-troika-statement-2-january-2020</t>
  </si>
  <si>
    <t>"South Sudan’s main coalition of donors are calling on leaders to urgently implement remaining tasks of the peace deal before the February 22, 2020 deadline expires.
On Saturday, the United States, Norway, and the United Kingdom, the main countries that have funded peace negotiations in South Sudan, said the country is running out of time to create the transitional unity government.
Known as the TROIKA, the three urged the key principals to the revitalised peace agreement (R-ARCSS) to commit themselves to finalising the pending tasks before the lapse of the extended deadline."</t>
  </si>
  <si>
    <t>https://reliefweb.int/report/south-sudan/donors-urge-south-sudan-form-unity-government-deadline</t>
  </si>
  <si>
    <t>Rome Declaration on the Peace Process in South Sudan</t>
  </si>
  <si>
    <t>https://reliefweb.int/report/south-sudan/rome-declaration-peace-process-south-sudan</t>
  </si>
  <si>
    <t>"Under the auspices of the Community of Sant'Egidio in Rome, and witnessed by IGAD, the government of South Sudan, the South Sudan Opposition Movements Alliance (SSOMA), The SPLM/A-IO, and NDM has signed a peace declaration in which they recommit to the Secession of Hostilities Agreement of December 2017 to avoid confrontation between the signatories and non-signatories parties of South Sudan peace agreement. The parties called for continued and uninterrupted humanitarian access to the local and international organization."</t>
  </si>
  <si>
    <t>The term 'other' refers to the arbitration to take place to settle the formation of a national unity government.</t>
  </si>
  <si>
    <t>"JUBA - A committee formed to help resolve disputes over the boundaries and number of South Sudan states has turned the issue over to arbitration, adding the issue should not hold up formation of a unity government.
After President Salva Kiir and opposition leader Riek Machar failed to agree on the number of states and their borders during several face-to-face meetings in December, regional bloc IGAD appointed a committee to mediate the issue and come up with a proposal for the parties.
The committee is comprised of South African Deputy President David Mabuza, Kenya’s special envoy to the South Sudan peace talks Kalonzo Musyoka, Uganda’s special envoy to South Sudan Betty Bigombe and IGAD envoy Ismail Waise.
South Africa’s Mabuza, the head of the committee, said in Juba Thursday his group consulted the parties to the deal but could not reach a compromise.
'We all agree that we are going to form the government of national unity, but we are going to subject the question of the number of states to arbitration; a mechanism that is going to take up to 90 days which is the proposal on the table,' Mabuza told VOA's South Sudan in Focus.
Mabuza did not explain what the arbitration entails but said the parties should form a transitional government of national unity government by the February 22 deadline and resolve the issue over states and boundaries later....Mabuza said his committee will draft a final proposal and release it to the public soon.'"</t>
  </si>
  <si>
    <t>https://reliefweb.int/report/south-sudan/committee-urges-swift-formation-south-sudan-unity-government</t>
  </si>
  <si>
    <t>"The United Nations Mission in South Sudan, together with local authorities in Western Lakes, has begun a series of sessions to avoid conflicts in cattle camps ahead of the notoriously resource-scarce and hence violent dry season, which typically runs till early April.
The campaign was launched in Aguoc, one of the biggest cattle camps found in the area. The efforts are made as an early attempt to mitigate cattle raids, revenge attacks and clashes over pastures and water."</t>
  </si>
  <si>
    <t>https://reliefweb.int/report/south-sudan/unmiss-begins-campaign-preempt-deadly-clashes-between-cattle-camps-lakes-region</t>
  </si>
  <si>
    <t>The EU released a Declaration by the High Representative Josep Borrell on behalf of the EU on South Sudan encouraging and pressuring for greater movement towards the national unity government.</t>
  </si>
  <si>
    <t>https://reliefweb.int/report/south-sudan/declaration-high-representative-josep-borrell-behalf-eu-south-sudan</t>
  </si>
  <si>
    <t>The Special Envoy for the General-Secretary asserted the UN's impatience with the delays in the establishment of the National Unity Government, which had been delayed twice before.</t>
  </si>
  <si>
    <t>https://reliefweb.int/report/south-sudan/briefing-special-representative-secretary-general-mr-david-shearer</t>
  </si>
  <si>
    <t>"About a thousand citizens of Akon County in the Gogrial area have participated in a peace rally centered around the dissemination of the content of the revitalised peace agreement signed in September 2018.
Organized by the United Nations Mission in South Sudan (UNMISS) in collaboration with the National Pre-Transitional Committee (NPTC), the event brought together a mixed crowd of residents, which also included county commissioners, executive chiefs, women’s organizations and youth groups."</t>
  </si>
  <si>
    <t>https://reliefweb.int/report/south-sudan/akon-county-communities-learn-about-revitalised-peace-agreement-promise-implement</t>
  </si>
  <si>
    <t>"The words of Simon Gardino, acting chairperson of the government-supporting youth attending this peace rally at Yambio Freedom Square, seem to ring true. More than 150 boys and girls seated in the shade of a tree, many of them belonging to the opposition faction of the main political party, the Sudan People’s Liberation Movement, are nodding their agreement.
They come from eight different counties and have gathered for a one-day event, organized by the United Nations Mission in South Sudan in collaboration with the United Nations Development Programme, the local Ministry of Information, Youth, Culture and Sports and the non-governmental organisation Non-Violent Peace Force."</t>
  </si>
  <si>
    <t>https://reliefweb.int/report/south-sudan/unprecedented-rally-yambio-brings-together-government-and-opposition-youth-become</t>
  </si>
  <si>
    <t>The term 'other' refers to the UN's organisation of peace rallies across South Sudan.</t>
  </si>
  <si>
    <t>https://reliefweb.int/report/south-sudan/communiqu-905th-meeting-peace-and-security-council-situation-republic-south-sudan</t>
  </si>
  <si>
    <t>The AU released a communiqué supporting this step.</t>
  </si>
  <si>
    <t>The IGAD Heads of State and special envoys to South Sudan met to discuss progress towards the transitional political process in South Sudan. They urged South Sudan leaders to adhere to the deadline of establishing a national unity government. IGAD also held consultations with tripartite partners and constituents.</t>
  </si>
  <si>
    <t>https://igad.int/wp-content/uploads/2020/02/09_02_2020_COMMUNIQUE-OF-THE-34TH-EXTRAORDINARY-SU-MMIT-OF-IGAD-HEADS-OF-STATE-AND-GOVERNMENT.pdf</t>
  </si>
  <si>
    <t>The AU supported the meeding of IGAD Heads of State and special envoys to South Sudan to discuss progress towards the transitional political process in South Sudan. They urged South Sudan leaders to adhere to the deadline of establishing a national unity government. IGAD also held consultations with tripartite partners and constituents.</t>
  </si>
  <si>
    <t>Rome Resolution on Monitoring and Verification of the Cessation of Hostilities Agreement</t>
  </si>
  <si>
    <t>"February 14, 2020 (JUBA) - The South Sudan Opposition Movements Alliance (SSOMA) Friday has officially taken part in a cessation of hostility deal brokered by the Roman Catholic Sant’ Egidio peace group last January.
"The (SSOMA) is informing its entire membership. supporters, South Sudanese at large and the International Community that it has together with the Government (...) signed Rome Resolution on Monitoring and Verification of the Cessation of Hostilities Agreement COHA (of) December 2017 under the auspices of the Community of Sant’Egidio," said the alliance on Friday.
According to this ceasefire implementation agreement, SSOMA will participate in the Monitoring and Verification mechanism paving the way for further negotiations on the root causes of conflict in South Sudan.
"</t>
  </si>
  <si>
    <t>https://reliefweb.int/report/south-sudan/south-sudan-holdout-groups-take-part-cessation-hostilities</t>
  </si>
  <si>
    <t xml:space="preserve">"'The (SSOMA) is informing its entire membership. supporters, South Sudanese at large and the International Community that it has together with the Government (...) signed Rome Resolution on Monitoring and Verification of the Cessation of Hostilities Agreement COHA (of) December 2017 under the auspices of the Community of Sant’Egidio,' said the alliance on Friday." Other groups had previously signed this cessation of hostilities agreement in December 2017. </t>
  </si>
  <si>
    <t>Equatorial Guinea</t>
  </si>
  <si>
    <t>Lesotho</t>
  </si>
  <si>
    <t>Morocco</t>
  </si>
  <si>
    <t>Togo</t>
  </si>
  <si>
    <t>Gabon</t>
  </si>
  <si>
    <t>Liberia</t>
  </si>
  <si>
    <t>Sierra Leone</t>
  </si>
  <si>
    <t>Zimbabwe</t>
  </si>
  <si>
    <t>Burundi</t>
  </si>
  <si>
    <t>BUI</t>
  </si>
  <si>
    <t>EQG</t>
  </si>
  <si>
    <t>LES</t>
  </si>
  <si>
    <t>MOR</t>
  </si>
  <si>
    <t>TOG</t>
  </si>
  <si>
    <t>GAB</t>
  </si>
  <si>
    <t>LBR</t>
  </si>
  <si>
    <t>SIE</t>
  </si>
  <si>
    <t>ZIM</t>
  </si>
  <si>
    <t>"Juba, 20 February 2020: In line with its mandate to promote and enhance peace and security in the Continent, the African Union (AU) Peace and Security Council (PSC) undertook a field mission to the Republic of South Sudan from 18 to 20 February 2020. The Mission took place within the framework of the implementation of various decisions of the Council on the situation in South Sudan. In particular, the Council aimed at evaluating the status of implementation of the Revitalized Agreement on the Resolution of Conflict in the Republic of South Sudan (R-ARCSS) signed on 12 September 2018, given that the Revitalized Transitional Government of National Unity (R-TGONU) is to be formed on 22 February 2020. Furthermore, the Mission aimed at expressing AU’s solidarity with the People and Government of South Sudan during this critical period in the history of the country. In this light, it is worth noting that this is the fourth field mission of the AUPSC to the Republic of South Sudan since October 2016.
The PSC delegation was led by His Excellency Ambassador Mohamed Idriss Farah, Permanent Representative of the Republic of Djibouti to the African Union, in his capacity as the Chairperson of the PSC for the month of February 2020. The PSC delegation comprised representatives of the fifteen Member States, namely: Ambassadors of Algeria, Salah Francis Alhamdi; Angola, Francisco Da Cruz; Burundi, Joel Nkurabagaya; Equatorial Guinea, Cristantos Obama Ondo; Lesotho, Mafa Sejanamane; Morocco, Mohamed Arrouchi; Nigeria, Bankole Adeoye; and Togo, Sebade Toba; as well as Representatives from Gabon, Kenya, Liberia, Rwanda, Sierra Leone and Zimbabwe."</t>
  </si>
  <si>
    <t>https://reliefweb.int/report/south-sudan/au-peace-and-security-council-concludes-three-day-field-mission-republic-south</t>
  </si>
  <si>
    <t>The IGAD-led talks and pressure from international donors, IGOs, and NGOs resulted in the formation of a national unity government on 20th February 2020.</t>
  </si>
  <si>
    <t>https://reliefweb.int/report/south-sudan/au-commission-chairperson-welcomes-formation-government-national-unity-south</t>
  </si>
  <si>
    <t>https://reliefweb.int/report/south-sudan/unmiss-urges-parties-form-transitional-government</t>
  </si>
  <si>
    <t>https://reliefweb.int/report/south-sudan/secretary-general-welcomes-establishment-transitional-government-south-sudan</t>
  </si>
  <si>
    <t>"Owiny-Kibul, some 60 kilometres from Magwi, towards the Ugandan border, used to be a peaceful village. That was before the Nyachigak military academy and training centre were established in the vicinity, about five years ago. A recent intervention by the United Nations Mission in South Sudan has now restored some of the harmony that had gone missing....Because of these tensions, the UN peacekeeping mission, in collaboration with Christian Relief Aid, a non-governmental organization based in Juba, organized a three-day forum in the area, attracting some 80 women, youth, elders, landlords, chiefs, religious leaders and military officers.
Those in attendance were taught conflict management skills, before moving on to identifying root causes of the bad blood and what to do to improve relations."</t>
  </si>
  <si>
    <t>Christian Relief</t>
  </si>
  <si>
    <t>https://reliefweb.int/report/south-sudan/calm-returns-owiny-kibul-unmiss-organises-military-civilians-dialogue-and</t>
  </si>
  <si>
    <t>"April 28, 2020 (JUBA) - The South Sudan Opposition Movements’ Alliance (SSOMA), reiterated its rejection of the revitalized peace pact and IGAD rules of engagement saying they are only committed to the Rome Peace Process.
On Friday 24th of April 2020, Ismail Wais the IGAD Special Envoy for South Sudan told reporters by video conference from Addis Ababa that the Sant’Egidio is "facilitating" discussions between the South Sudanese government and the SSOMA in Rome but the process remains "under the IGAD rules of engagement".
"</t>
  </si>
  <si>
    <t>https://reliefweb.int/report/south-sudan/south-sudan-ssoma-says-committed-rome-not-igad-peace-process</t>
  </si>
  <si>
    <t>https://reliefweb.int/report/south-sudan/unmiss-peacekeeping-patrol-investigates-intercommunal-clashes-jonglei</t>
  </si>
  <si>
    <t>https://reliefweb.int/report/south-sudan/unmiss-peacekeepers-respond-intercommunal-clashes-near-bentiu</t>
  </si>
  <si>
    <t>The UNMISS deployed peacekeepers in rural regions to prevent escalating intercommunal clashes and find peaceful resolutions.</t>
  </si>
  <si>
    <t>https://reliefweb.int/report/south-sudan/south-sudan-bachelet-calls-accountability-hundreds-reported-killed-intercommunal</t>
  </si>
  <si>
    <t>https://reliefweb.int/report/south-sudan/south-sudan-intercommunal-violence-dg-echo-msf-media-echo-daily-flash-15-june</t>
  </si>
  <si>
    <t>As the main donors of the South Sudanese peace process, the Troika (US, UK, Norway) urged the South Sudanese government to appoint state governors to address the growing violence across South Sudan.</t>
  </si>
  <si>
    <t>https://reliefweb.int/report/south-sudan/troika-calls-government-south-sudan-appoint-governors</t>
  </si>
  <si>
    <t>https://reliefweb.int/report/south-sudan/civil-society-political-stakeholders-community-leaders-western-bahr-el-ghazal</t>
  </si>
  <si>
    <t>"Keeping up momentum regarding the ongoing peace process in South Sudan despite nation-wide COVID-19 restrictions was at the heart of a recent day-long event organized by UNMISS Civil Affairs in Western Bahr el Ghazal. The forum aimed at widening engagement with and understanding of the Revitalized Peace Agreement by political stakeholders, including representatives of the Sudan People's Liberation Movement (SPLM) and the Sudan People’s Liberation Movement-in Opposition (SPLM-IO), religious and community leaders as well as civil society actors in the region.
Participants agreed on developing communication modalities that would help them continue to work together for the cause of sustainable peace. These included technology-based options such as using social media applications and short messaging systems to foster ongoing dialogues that, ultimately, will serve to bring social cohesion and reconciliation to Western Bahr el Ghazal, a region that has been devastated by conflict."</t>
  </si>
  <si>
    <t>https://reliefweb.int/report/south-sudan/renewed-violence-and-delayed-implementation-peace-agreement-severely-threaten</t>
  </si>
  <si>
    <t>Abyei businessmen</t>
  </si>
  <si>
    <t>"August 26, 2020 (JUBA) - South Sudanese and Sudanese officials Thursday vowed to settle the issue of the disputed border area of Abyei after the end of the Juba process for peace in Sudan.
Abyei businessmen organized a lunch for the chairman of the Sudanese government negotiating team Mohamed Hamdan Daglo aka Hemetti who is also the deputy head of the Sovereign Council.
The lunch was also attended by the South Sudanese Vice-President Hussein Abdelbagi and the mediation team particularly Tut Gatluak and Dhieu Matouk.
Speaking at the event, Abdelbagi called to hold a referendum in Abyei to decide on the fate of the area which is inhabited by the Ngok Dinka and Messeriya tribes."</t>
  </si>
  <si>
    <t>https://reliefweb.int/report/south-sudan/sudan-south-sudan-officials-vow-settle-abyei-dispute</t>
  </si>
  <si>
    <t>"Thousands of families have had their lives devastated by a vicious cycle of fighting and revenge attacks that have plagued the Jonglei region of South Sudan for the past six months….In an effort to end the conflict, the United Nations Mission in South Sudan brought together political leaders at the national and state level as well as community elders, civil society and other key stakeholders for mediation and peace talks at a forum in Juba.
Opening the event, the Special Representative of the Secretary-General, David Shearer said that every community in the region had suffered from the violence....The SRSG pointed to a number of ways that UNMISS can support the mediation effort. These include political and logistical support for Governors to conduct peace talks across the State, providing peacekeepers to monitor buffer zones between the groups, increasing the capacity of local police and helping develop infrastructure to address underlying causes of the violence, such as building new roads, schools, and water points.
However, he said there has to be a genuine willingness among all parties to work constructively together to end the fighting first."</t>
  </si>
  <si>
    <t>https://reliefweb.int/report/south-sudan/mediation-process-end-spiraling-violence-jonglei-gets-underway-peace-conference</t>
  </si>
  <si>
    <t>"September 25, 2020 (JUBA) -The alliance of South Sudanese holdout groups, SOMMA, has suspended the South Sudan United Front (SSUF) of General Paul Malong ahead of the resumption of peace talks in Rome next October….Reliable sources told Sudan Tribune that the alliance had been observed that General Malong established a secondary channel of communication with the Sant’Egidio mediators.
Also, the sources claimed that Malong and Kiir resumed contacts and discuss regularly opposition plans for the peace process.
The government and SSOMA are scheduled to resume peace talks next month.
A new round of peace talks will be held in Rome from 5 to 9 October.
It s not clear how the mediation will organize the upcoming talks.
The alliance consists of the Real Sudan People’s Liberation Movement (R-SPLM), National Salvation Front (NAS). South Sudan United Front (SSUF) and the United Democratic Revolutionary Movement/Army (UNDRM/A), National Democratic Movement-PF (NDM-PF), and Sudan National Movement for Change (SSNMC)."</t>
  </si>
  <si>
    <t>https://reliefweb.int/report/south-sudan/somma-suspends-malong-ahead-peace-talks-south-sudan-govt</t>
  </si>
  <si>
    <t>https://www.peaceagreements.org/view/2288</t>
  </si>
  <si>
    <t>https://reliefweb.int/report/south-sudan/report-he-maj-gen-rtd-charles-tai-gituai-interim-chairperson-rjmec-status</t>
  </si>
  <si>
    <t>"The Legislative arm of the RTGoNU is yet to be reconstituted. The 36th Extraordinary Meeting of the IGAD Heads of State and Government held in July 2020 appealed to the President of the Republic of South Sudan to dissolve the current Transitional National Legislative Assembly (TNLA) before 26th July 2020; and the Parties to reconstitute the TNLA within seven (7) days of its dissolution. However, the TNLA is yet to be dissolved and its expansion and reconstitution has been delayed. The Summit also called upon the R-TGoNU to take remedial measures to immediately rectify the alterations made to the Constitutional Amendment Bill. These measures were initiated by the NCAC in order to rectify the alterations and submitted to the Minister of Justice and Constitutional Affairs for review....The RJMEC Interim Chairperson addressed virtual meetings of the IGAD Heads of State and Governments and the African Union Peace and Security Council (AUPSC), in which he outlined the current status of implementation and recommended that: the Parties move to speedily appoint the Upper Nile governor; the reconstitution of the TNLA be undertaken immediately; the training, graduation and redeployment of the Necessary Unified Forces move ahead; the authorities initiate dialogue at the grassroots level in order to address intercommunal violence; and the Africa Union continue to pursue establishment of the Hybrid Court. In addition, the RJMEC leadership held meetings with H.E Salva Kiir, President, Dr Riek Machar Teny, First Vice President, and the four Vice Presidents of the Republic of South Sudan."</t>
  </si>
  <si>
    <t>"In order to support the implementation of the revitalized peace agreement, advance the unification of of army, the Chinese government has successively provided a number of material assistance to South Sudan since last year. On October 26, 2020, the handover ceremony of the second batch of food aid was held in Juba. H.E. Hua Ning, Chinese Ambassador to South Sudan, and Hon. Stephen Par, Minister of Peace Building of South Sudan and Secretary of National Transitional Committee(NTC) attended the ceremony.
Ambassador Hua Ning said that the peace process in South Sudan has entered a new stage, the training and redeployment of unified forces remains an important and urgent task. In the face of COVID-19, the deteriorating economic situation, and the frequent occurrence of natural disasters, relevant parties of South Sudan continued peace talks through dialogue and consultation which brought some positive progress. The Chinese government and people support the peace process from the very beginning, in a hope that South Sudan will restore peace and stability at an early date. China takes the lead in providing material assistance to South Sudan's unified forces building, all assistance promised have been delivered. Ambassador Hua called on all relevant parties of South Sudan to continue to show their political will, unite to overcome difficulties, speed up the implementation of the revitalized peace agreement, and build a unified people's forces to serve the country and all the people. China will continue its support for the peace process, we also encourage the international community to provide concrete assistance to South Sudan."</t>
  </si>
  <si>
    <t>https://reliefweb.int/report/south-sudan/handover-ceremony-food-aid-china-support-peace-process-held-juba</t>
  </si>
  <si>
    <t>"The platform in question was a recent peace forum organized by UNMISS and Community Empowerment for Progress Organization (CEPO) which brought together 20 representatives from women’s groups, youth organizations, civil society, displaced persons as well as traditional and religious leaders across Western Bahr El Ghazal.
Participants were taught basic skills in promoting a peaceful approach to conflict resolution. The objective—to enhance social cohesion and ensure that peace actors work from the ground up so that implementation of the Revitalized Peace Agreement across South Sudan acquires momentum."</t>
  </si>
  <si>
    <t>https://reliefweb.int/report/south-sudan/women-youth-western-bahr-el-ghazal-called-upon-sustain-momentum-peace-process</t>
  </si>
  <si>
    <t>The term 'other' refers to the UN's organisation of an open forum.</t>
  </si>
  <si>
    <t>The term 'other' refers to the UN's support and facilitation of the National Dialogue Conference (NDC) in South Sudan, organised by the South Sudan's steering committee for the NDC.</t>
  </si>
  <si>
    <t>https://www.undp.org/south-sudan/press-releases/national-dialogue-reaches-consensus-recommendations-redefine-unity-south-sudan</t>
  </si>
  <si>
    <t>https://reliefweb.int/report/south-sudan/special-representative-un-secretary-general-david-shearers-remarks-national</t>
  </si>
  <si>
    <t>"Traditional leaders in Yambio have been taken through every chapter of South Sudan’s Revitalized Peace Agreement, not least to fully understand the obligation of the state government and community leaders to inform communities about its content.
“I am happy to acquire this knowledge about the different provisions of the peace agreement, especially chapter five, which talks more about the role of the chiefs and the local government to keep citizens informed,” said Edward Mumbasa, acting paramount chief in Yambio County.
Organized by the United Nations Mission in South Sudan and the United Nations Development Programme, the two-day forum brought together more than 30 chiefs from different villages and communities. Among the issues discussed were the provisions of the revitalized peace agreement related to healing and reconciliation, the establishment of a hybrid court and and enterprise development fund."</t>
  </si>
  <si>
    <t>https://reliefweb.int/report/south-sudan/traditional-leaders-yambio-learn-more-about-their-role-implementing-revitalized</t>
  </si>
  <si>
    <t>"(ANSA 14 October): A new commitment by the two warring parties in South Sudan to silence the weapons in a renewed hope of peace. Mediator of the meeting held in Rome, the Community of Sant'Egidio, which will also organize the next military and political events, both scheduled in the Italian capital respectively from 9 to 12 November and 30 of the same month at the Community headquarters.
The opposition will be guaranteed to be part of the monitoring relating to the ceasefire with the first meeting, a workshop of military commanders, whereas the second one will lead to the signing of a declaration of principles of a political nature. Federalism, the constitution, security, land allocation and reconciliation are among the important issues on which to reach an agreement."</t>
  </si>
  <si>
    <t>"UNMISS has also been present at the talks facilitated by Sant’Egidio in Rome. I was disappointed to see the reports of clashes between the SSPDF and the NAS forces recently, but it’s encouraging to see parties back negotiating about SSOMA possibly being included in the CTSAMVM board by the New Year, which means that they’ll have their activities monitored by CTSAMVM."</t>
  </si>
  <si>
    <t>https://reliefweb.int/report/south-sudan/near-verbatim-transcript-srsghead-unmiss-david-shearers-press-conference-opening</t>
  </si>
  <si>
    <t>https://www.santegidio.org/pageID/30284/langID/en/itemID/38576/The-peace-process-in-South-Sudan-resumes-with-the-Sant-Egidio-talksthe-commitment-to-dialogue-between-the-parties-and-a-new-ceasefire-agreement.html</t>
  </si>
  <si>
    <t>Community of Sant’ Egidio</t>
  </si>
  <si>
    <t>https://reliefweb.int/report/south-sudan/unhcr-praises-inclusion-refugee-and-internally-displaced-voices-south-sudan-s</t>
  </si>
  <si>
    <t>"December 11, 2020 (JUBA) - The United States, United Kingdom and Norway have commended South Sudanese leaders for agreeing on the long-awaited formation of the Transitional National Legislative Assembly (TNLA).
On Wednesday, South Sudan’s parties to the revitalized peace agreement broke the stalemate on formation of states governments and reconstitution national assembly....According to the minister, the Transitional Government of Nation Unity (TGoNU) would hold a national conference in Juba for all communities of Upper Nile State to discuss ways and means of ending tribal differences in the state, prior to the final decision on the appointment of their governor.
Meanwhile, Stuart Symington, the U.S special envoy said representatives of the TROIKA nations pledged to support the peace process in South Sudan."</t>
  </si>
  <si>
    <t>https://reliefweb.int/report/south-sudan/troika-welcomes-decision-form-state-governments</t>
  </si>
  <si>
    <t>"The IGAD Special Envoy for South Sudan, Ambassador Ismail Wais, called for allinclusive peacebuilding, noting that broad participation is integral to ensure a strong protection environment and durable solutions for those displaced. “The priorities for reconstruction of South Sudan will be determined by displaced communities through their own lived experiences.”
Delivering a presentation virtually from Adjumani in Uganda, Maia Keven Juliet, a refugee from South Sudan, urged leaders “Not to give up. Peace is a process,” and called for widespread awareness of the peace process among displaced communities. Speaking on behalf of the internally displaced community in Benitu, Gok Diang Chuong called for more opportunities for displaced persons to participate in decision making, including in the formation of the transitional government, restoration of housing, land and property rights, as well as the establishment of a commission for truth, justice, reconciliation and healing.
Joining these representatives of South Sudan’s displaced communities, speakers from the United Nations, the government of South Sudan and civil society, referenced the pledges made at the Global Refugee Forum in 2019, as well as the desire to support solutions in a dignified and suitable way. This includes the creation of conditions on the ground to support return, while also ensuring the centrality of human rights in all phases of displacement, allowing affected persons to decide on solutions that are best for them.
Building on the good practices of the National Dialogue held in Juba in October of this year which provided a platform for over 40 displaced persons to be heard, as well as the affirmation within the R-ARCSS itself which critically, provides for solutions for refugees, IDPs and returnees, the meeting concluded with a call for the development of a framework to increase meaningful participation of conflict affected communities. This includes the establishment of a national taskforce and platform dedicated to ensuring displaced communities participate in peace building and reconciliation at state, regional and national level, along with the prioritisation of legislation to address protection concerns.
The webinar was organised by IGAD in coordination with UNHCR and with the support of GP 20, a multi-stakeholder initiative launched for the 20th anniversary of the Guiding Principles on Internal Displacement."</t>
  </si>
  <si>
    <t>https://reliefweb.int/report/south-sudan/inclusion-displaced-persons-implementation-south-sudan-s-peace-agreement-key</t>
  </si>
  <si>
    <t>"[A]t the national level, UNMISS is working to achieve underlying agreement on vital aspects of the peace process….and most particularly over the last few weeks – on the constitution and putting the constitution in place."</t>
  </si>
  <si>
    <t>https://reliefweb.int/report/south-sudan/statement-special-representative-secretary-general-david-shearer-briefing</t>
  </si>
  <si>
    <t>South Sudanese religious leaders</t>
  </si>
  <si>
    <t>"YEI, SOUTH SUDAN - With an eye toward ending intercommunal violence that killed dozens of people last month in Central Equatoria state, South Sudanese religious leaders and civil society activists have organized direct peace and reconciliation talks between various communities.
Some meetings already have taken place in rural villages of Terekeka County and included chiefs, women, youth, farmers, and cattle camp leaders."</t>
  </si>
  <si>
    <t>https://reliefweb.int/report/south-sudan/sudan-religious-leaders-hold-talks-aimed-ending-intercommunal-fighting</t>
  </si>
  <si>
    <t>"MANYANG MAYOM/FILIP ANDERSSON
Dry season in South Sudan means that a large number of herders and their thousands of cattle migrate in search of water and new pastures. To minimize the related conflicts that occur, the United Nations Mission in South Sudan has embarked on a series of peace dialogues in affected areas, most recently in Tonj South in Warrap State."</t>
  </si>
  <si>
    <t>https://reliefweb.int/report/south-sudan/unmiss-embarks-series-peace-dialogues-avoid-conflicts-during-seasonal-cattle</t>
  </si>
  <si>
    <t>"MANYANG MAYOM To counter the effects of continuing tensions and outbreaks of intercommunal conflict in the greater Tonj area of Warrap state, UNMISS Civil Affairs recently organized a peace campaign in Ngapagok payam (administrative division) located in Tonj east.
The event, which included awareness-raising on peaceful reconciliation, the need for social cohesion and the role of the peacekeeping mission in building durable peace across South Sudan, was attended by hundreds of community members.
Most importantly, with seasonal cattle migration taking place across the world’s newest country, a focus for discussions and sensitization was the Marial Bai cattle movement agreement which was signed in November 2016."</t>
  </si>
  <si>
    <t>https://reliefweb.int/report/south-sudan/unmiss-hosts-peace-event-warrap-urges-communities-opt-dialogue-instead-conflict</t>
  </si>
  <si>
    <t>UNMISS has led consultations, mediation, and peacekeeping efforts in rural areas around South Sudan to prevent and deal with violence associated with the migration of cattle herders and their cattle.</t>
  </si>
  <si>
    <t>"PRIYANKA CHOWDHURY “As a mission, our primary goal has always been to prevent violence breaking out and to protect civilians when needed,” says David Shearer, the top United Nations envoy in South Sudan and head of the peacekeeping operation, UNMISS.
“We’re currently in the middle of the dry season here,” he continues. “It’s always a tricky time because nomadic herders start moving their livestock to find grazing land and water. This cross-country movement creates tensions with those farming settled lands. Herders sometimes allow cattle to graze on cultivated crops and farmers retaliate to protect their resources which can lead to conflict, loss of life and displacement,” reveals SRSG Shearer.
To reduce the risk of violence, UNMISS peacekeepers have adopted a more mobile approach by establishing temporary operating bases near seasonal cattle migration routes.
In Cueibet, a county in the Lakes region, Nepalese peacekeepers serving with UNMISS established a temporary operating base in November 2020 as part of a proactive measure to build confidence among local communities and deter potential skirmishes."</t>
  </si>
  <si>
    <t>https://reliefweb.int/report/south-sudan/unmiss-peacekeepers-cueibet-continue-mitigate-conflict-and-build-confidence</t>
  </si>
  <si>
    <t>"More than 30 local chiefs residing in Malakal town or in the peacekeeping mission’s protection of civilians site in that Upper Nile city have learnt valuable conflict management skills and skills to promote reconciliation and social cohesion in and between their communities."</t>
  </si>
  <si>
    <t>https://reliefweb.int/report/south-sudan/traditional-leaders-malakal-trained-conflict-management-and-reconciliation</t>
  </si>
  <si>
    <t>"Early every year, the nomadic people of Misseriya in Sudan and their herds of cattle make the long journey south to Aweil East County in South Sudan. They come in search of water and pasture, but a scarcity of such resources frequently leads to tensions and sometimes violent clashes with cattle herders in the Dinka Malual host communities.
This year has so far been no exception, with the recent killing of a Misseriya tribesman resulting in the closure of the border post between the two countries.
To reduce tensions, the United Nations Mission in South Sudan (UNMISS) in collaboration with its peace partners and the government have hosted a peace and pre-migration conference between the two groups. The representatives who met in Aweil have now agreed on a series of resolutions and recommendations to promote peace and freedom of movement for all – without carrying guns.
“Any person found possessing a gun or ammunition inside South Sudanese territory shall be arrested and subjected to legal procedures,” said William Kolong, the Regional Peace Coordinator, reading out the resolutions."</t>
  </si>
  <si>
    <t>https://reliefweb.int/report/south-sudan/border-post-buzzing-again-cattle-herders-south-sudan-and-sudan-agree-rules</t>
  </si>
  <si>
    <t>RJMEC under the auspices of IGAD has been in the process of overseeing the formation of a Constitutional committee to hold a constitution-making workshop. This was set to be held on 1-3 February 2021, however the South Sudanese government had not provided a list of participants, thus postponing the workhsop.</t>
  </si>
  <si>
    <t>https://reliefweb.int/report/south-sudan/report-first-year-transitional-period-revitalised-agreement-resolution-conflict</t>
  </si>
  <si>
    <t>"Juba – The Intergovernmental Authority on Development (IGAD), UNHCR, the Refugee Agency and partners, applaud progress toward lasting solutions for forcibly displaced persons as national consultations took place last week in Juba, South Sudan.
The two day event successfully marked another milestone for South Sudan’s implementation of the Sudan and South Sudan Solutions Initiative, under the auspices of IGAD, following the establishment of the Inter-Ministerial National Technical Committee (NTC) and hosting the second High-Level technical meeting in Juba in early January.
The workshop was attended by over 70 persons, both virtually and in person, including representation of those internally displaced, refugee returnees and host communities in Bentiu,
Bor, Jamjang, Maban, Malakal, Wau and Yambio. Refugees hosted in Kenya, Sudan, and Uganda also actively participated virtually."</t>
  </si>
  <si>
    <t>https://reliefweb.int/report/south-sudan/progress-and-momentum-national-consultations-solutions-initiative-get-underway</t>
  </si>
  <si>
    <t>"DENIS LOURO OLIVER
“For us to be more resilient, we should let idle youth work at farms to produce more food,” suggested Victoria Yatoma, Executive Director of the Nile Sisters Development Organization.
Ms. Yatoma made her recommendation at a workshop preceding the Annual Learning Forum, which is a joint programme launched under the umbrella of the Partnership for Recovery and Resilience in South Sudan.
Two gatherings in the Western Equatoria State towns of Yambio and Nzara, supported by the United Nations Mission in South Sudan, brought together representatives of youth, women, religious group, traditional leaders, business communities and state actors to discuss ways forward on how to boost recovery and resilience in the wake of civil war, COVID-19 and other stressful factors."</t>
  </si>
  <si>
    <t>https://reliefweb.int/report/south-sudan/peacekeeping-mission-supports-building-resilient-communities-western-equatoria</t>
  </si>
  <si>
    <t>"SAMSON LIBERTY
“We have suffered from numerous conflicts and it is important for us to know how to resolve these amicably, especially disagreements with nomadic herders,” says Anyisa Pagan Amum.
Mr. Amum was speaking at an UNMISS-facilitated peace forum held in Kodok, Upper Nile state, where more than 30 representatives from civil society organizations, women, youth and traditional leaders came together to discuss building social cohesion, reconciliation and harmony among local communities here.
Kodok, located within Fashoda county, was devastated by the civil war which took place in South Sudan in 2013. Many people fled their homes at the time, but now with a peace deal and a transitional government of national unity in place, they are slowly returning to their families and beginning the painstaking process of rebuilding their lives.
The two-day training hosted by the mission’s Civil Affairs Division on 13-14 April 2021, therefore, aimed at empowering participants with basic conflict-management training. It also focused on building relationships between"</t>
  </si>
  <si>
    <t>https://reliefweb.int/report/south-sudan/unmiss-civil-affairs-conducts-peacebuilding-workshop-kodok-upper-nile</t>
  </si>
  <si>
    <t>https://reliefweb.int/report/south-sudan/communiqu-990th-psc-meeting-theme-consideration-report-psc-field-mission-south</t>
  </si>
  <si>
    <t>The AU conducted a field mission to South Sudan between24 and 26 March 2021, to which the term 'other' refers,  and during which the AU held consultations with various groups within the country.</t>
  </si>
  <si>
    <t>"Cantonment sites and training centres continue to face significant challenges that include a lack of food, medicine, clean water, shelter equipment and essential personal hygiene items for female personnel; as a result morale has deteriorated. The RJMEC Interim Chairperson organised a site visit for IGAD regional ambassadors and the Special Envoy to two such training centres."</t>
  </si>
  <si>
    <t>https://reliefweb.int/report/south-sudan/rjmec-report-status-implementation-revitalised-agreement-resolution-conflict-1</t>
  </si>
  <si>
    <t>The term 'other' refers to IGAD's conducting of a field tour.</t>
  </si>
  <si>
    <t>"With respect to the Permanent Constitution-making process envisaged under Chapter VI of the R-ARCSS, the RJMEC has scheduled the workshop to take place towards the end of May 2021. This was made possible following nominations by all the Parties of their representatives to the workshop. During the workshop, the Parties are expected to agree on the details of conducting the permanent constitution-making process, which outcome shall form the basis of the legislations to be enacted."</t>
  </si>
  <si>
    <t>The term 'other' refers to the UN's logistical support in the constitution-writing process.</t>
  </si>
  <si>
    <t>"Almost a decade later, it has a ceasefire and peace deal in place and is now beginning the journey towards a new constitution that will ultimately pave the way for free and fair elections.
A two-day workshop, sponsored by regional and international partners, was launched in the capital Juba by the country's President and political parties.
"Since this workshop is to develop a roadmap for the first permanent constitution of the Republic of the independent South Sudan, it is absolutely critical that it reflects the aspirations of our people for freedom, equality, justice and prosperity for all," said President Salva Kiir at the opening event.
The Prime Minister of Sudan and Chair of the Intergovernmental Authority on Development (IGAD), Abdalla Hamdok, expressed his support and acknowledged the complexity of the process ahead.
"</t>
  </si>
  <si>
    <t>"Juba – The International Organization for Migration (IOM) organized a field visit to Renk Town, El Gerger Payam and Wunthou border to conduct consultation sessions with community members and local authorities on their perception of peace and security.
The visit conducted within the framework of Supporting Peace, Security and Stability in Northern Regions through Strengthening Border Management Capacities and Inclusive Community Engagement project brought together a delegation of Deputy Inspector of General Police, Director of Research and Planning of South Sudan National Police Service, Ambassador-At-Large in charge of Sudan Relations and Ambassador of the Federal Republic of Germany to the Republic of South Sudan.
During the visit, the delegation met with women, youth, and community leaders, from Renk Town and El Gerger who expressed their opinions, perception and concerns over peace and security in their communities like unsafe farming places for women, the need to have safe and secure movement of migrants and citizens who often cross the border for business opportunities, better health services, among others."</t>
  </si>
  <si>
    <t>https://reliefweb.int/report/south-sudan/iom-government-south-sudan-and-germany-visit-northern-region-south-sudan</t>
  </si>
  <si>
    <t>https://reliefweb.int/report/south-sudan/south-sudan-begins-constitution-making-process-supported-united-nations</t>
  </si>
  <si>
    <t>African Diplomatic Corps</t>
  </si>
  <si>
    <t>"Juba, 2 June 2021: A joint delegation to Pibor on 1 June 2021, consisting of representatives from the African Union Mission in South Sudan (AUMISS), the Intergovernmental Authority on Development (IGAD), the Reconstituted Joint Monitoring and Evaluation Commission (R-JMEC), the African Diplomatic Corps (ADC), the acting Humanitarian Coordinator (HC) and the United Nations Mission in South Sudan (UNMISS), expressed concern over the violence that has escalated in the Greater Pibor Administrative Area.
The delegation is concerned that violence this year could evolve into something similar to that witnessed in early 2020 when thousands of fighters Dinka, Nuer, Murle communities conducted attacks on villages, killing and wounding hundreds of civilians. While acknowledging that the current fragile situation has begun to improve gradually, the delegates from the AUMISS, IGAD, R-JMEC, ADC and UNMISS called on the Transitional Government of South Sudan, together with community leaders in Greater Pibor and Jonglei, to take steps to silence the guns, address the root causes of the conflict and fulfil its responsibility to protect civilians. The delegation plans to visit other areas of greater Jonglei to reiterate this message.
AUMISS, IGAD, R-JMEC, ADC, and UNMISS, along with the broader international community, will continue to do everything possible to support the Government and people of South Sudan. However, the delegation stressed that the protection of citizens from intercommunal violence, and providing support to the internally displaced South Sudanese, is first and foremost the responsibility of the Government. Further, the delegation appealed to the Government for a speedy establishment of the local administrative structures in the Area, while urging for the 35% level of women’s representation to be met.
"</t>
  </si>
  <si>
    <t>https://reliefweb.int/report/south-sudan/joint-statement-aumiss-igad-r-jmec-adc-and-unmiss-situation-pibor</t>
  </si>
  <si>
    <t>The term 'other' refers to the delegation's tour.</t>
  </si>
  <si>
    <t>UN Special Envoy, Nicholas Haysom, in a press conference stated "Last week, I had the pleasure to be with President Kiir and other leaders at the workshop that launched the permanent constitution-making process as part of the Revitalised Peace Agreement. The stakes could not be higher. Drafting a national constitution is a quintessential act of sovereignty."</t>
  </si>
  <si>
    <t>https://reliefweb.int/report/south-sudan/opening-remarks-and-qa-nicholas-haysom-special-representative-secretary-general</t>
  </si>
  <si>
    <t>UN Special Envoy, Nicholas Haysom, in a press conference stated "This week, I joined a delegation of representatives from the African Union, IGAD, R-JMEC, and the African diplomatic community based here in Juba on a visit to Pibor. We all share deep concern over the violence between community-based militias that has escalated in the Greater Pibor Administrative Area."</t>
  </si>
  <si>
    <t>"Feuding communities from the areas of Kirik, Rualbet, Awul, Pagol and Manalor in Tonj North County have unanimously resolved to end the violence that over the years has claimed hundreds of lives.
“We have wasted a lot of our time fighting, and this is the time to stop,” said Paramount Chief Mabior Parek, speaking at a two-day dialogue in Kuajok, organized by the United Nations Mission in South Sudan. “We have rule of law institutions in place and families who feel aggrieved can seek justice there.”"</t>
  </si>
  <si>
    <t>https://reliefweb.int/report/south-sudan/rival-communities-tonj-north-county-agree-end-violent-conflict</t>
  </si>
  <si>
    <t>"From 8 to 12 March, the peace talks brokered by the Community of Sant’Egidio between the South Sudan Opposition Movements Alliance (SSOMA) and the Revitalized Transitional Government of National Unity took place in Naivasha, Kenya. The SSOMA faction of the Real Sudan People’s Liberation Movement, General Paul Malong of the South Sudan United Front/Army (SSUF/A) and the Revitalized Transitional Government of National Unity signed the Declaration of Principles on 10 March. The Declaration of Principles will be the guiding framework for future talks between the parties."</t>
  </si>
  <si>
    <t>https://reliefweb.int/report/south-sudan/situation-south-sudan-report-secretary-general-s2021566-enar</t>
  </si>
  <si>
    <t>"Third, on 25 May, President Kiir, with Sudan’s Prime Minister Abdalla Hamdok in attendance, officially launched the permanent constitution-making process in Juba. Drafting a national constitution is a quintessential act of sovereignty. It expresses the highest aspirations of a nation and its most cherished values. An inclusive national conversation will lay a foundation for a social contract between the citizens of the country. An engaged and inclusive process will increase the probability of a durable peace."</t>
  </si>
  <si>
    <t>https://reliefweb.int/report/south-sudan/briefing-un-security-council-secretary-general-s-special-representative-south</t>
  </si>
  <si>
    <t>"'When we arrived in Loriyok (between Torit and Kapoeta) everyone hid their guns and stayed calm. That would not have happened if the UN peacekeepers hadn’t been with us' said Oyet James Nathancio, the General Secretary of the South Sudan Council of Churches.
He is here, in Eastern Equatoria State, together with some twenty other members of the Council. They have been flown from the capital Juba to Torit, where peacekeepers serving with the United Nations Mission in South Sudan are protecting them as they move about the state.
The mediation team, as they call themselves, has spent eight days in the state to meet a total of 90 political and other leaders plus women and youth in three areas plagued by intercommunal conflicts. The frequent outbursts of violence have claimed countless lives in cattle raids, robberies and revenge killings.
Having been unable to reach durable peace agreements, despite several attempts, members of the affected communities in and around Torit, Kapoeta and Loriyok all agreed that a visit from the Council of Churches would be a good idea....The community consultations, not least with youth groups, leading to the mediation team travelling to Eastern Equatoria State have also been supported by the United Nations Development Programme and the Swiss Agency for Cooperation and Development.
"</t>
  </si>
  <si>
    <t>https://reliefweb.int/report/south-sudan/unmiss-and-partners-support-members-clergy-reconcile-disputing-politicians</t>
  </si>
  <si>
    <t>"A two-day peacebuilding dialogue organized jointly by the United Nation Mission in South Sudan (UNMISS) and the Ministry for Peacebuilding in Rumbek recently concluded in Wulu county.
The main aim: To bring together the communities residing in Barghel, Wulu county, and Agangerial, Cuiebet county, and enable discussions between them to reduce instances of inter-communal conflict and enhance peaceful coexistence."</t>
  </si>
  <si>
    <t>https://reliefweb.int/report/south-sudan/unmiss-organizes-peace-dialogue-resolve-longstanding-intercommunal-conflict</t>
  </si>
  <si>
    <t>"The report also identifies some of the key challenges that hinder progress in implementation.
This includes: insufficient political will among the Parties to compromise where needed; trust deficit and lack of confidence among the Parties including intra-Party disagreements and infighting; delays and lack of prioritisation of key tasks; and lack of sufficient funding and resources needed for the full implementation of the Agreement.
Faced with those challenges the RJMEC Leadership engaged in a number of high-level diplomatic engagements both with the RTGoNU Presidency, the TNLA Speaker and regional leaders in an effort to impress upon them the urgency of addressing the critical issues that continue to impede progress in implementation of the R-ARCSS. IGAD for its part convened an extraordinary meeting to address the splintering of the SPLM/A-IO and assess the general progress of implementation of the R-ARCSS."</t>
  </si>
  <si>
    <t>https://reliefweb.int/report/south-sudan/rjmec-report-status-implementation-revitalised-agreement-resolution-conflict-2</t>
  </si>
  <si>
    <t>Türkiye</t>
  </si>
  <si>
    <t>"Turkish Cooperation and Coordination Agency (TİKA) provided equipment to the press unit established under the Ministry of Peace Building in South Sudan.
TİKA provided furniture, computers and printers to a press unit established within the ministry. In this unit, peace stories will be told, important community leaders will be discussed through broadcasts and examples of peace will be told to the society.
Five office desks and chairs with drawers, five double desks and chairs, three triple waiting chairs, five metal file cabinets, a water dispenser, two desktop computers, a laptop computer, a multi-function printer and printer papers were given.
In his speech at the delivery ceremony of the materials, TİKA Juba Coordinator Cafer T. Beşli stated that as TİKA, they are happy to be a part of the South Sudan peace process and that they see this material support as a contribution to the internal peace of South Sudan. Beşli also stated that they believe in the internal peace of South Sudan and that this project is an indicator of that belief."</t>
  </si>
  <si>
    <t>https://reliefweb.int/report/south-sudan/support-t-ka-internal-peace-process-south-sudan</t>
  </si>
  <si>
    <t>"The Security Council today requested the Secretary‑General to set up a dedicated team to assist the electoral process in South Sudan towards the country’s democratic future, as members also discussed the impact of the 25 October military coup d’état in Sudan on the bilateral border administration.
At the outset of today’s meeting, the 15‑member organ endorsed a presidential statement (to be issued as document S/PRST/2021/20), presented by Kenya, Council President for October, by which the Secretary‑General is requested to establish an integrated electoral assistance team led by the United Nations Mission in South Sudan (UNMISS), in support of the electoral road map detailed in the peace agreement of 2018.
In the statement, the Council underscored that elections must be preceded by an inclusive, transparent constitution-drafting process, carried out in an environment that respects freedom of expression, association and peaceful assembly, and encourages civic engagement.
The Council then urged the South Sudanese authorities to make progress on key milestones, including the necessary security arrangements, the establishment of the legal framework for elections, and the establishment of a functioning National Election Commission both in Juba and at the subnational level.
Today’s meeting took place as the 15 November expiration date approaches for both the mandate of the United Nations Interim Security Force for Abyei (UNISFA) and its support to the Joint Border Verification and Monitoring Mechanism, which monitors the demilitarized zone along the border between Sudan and South Sudan.
Jean‑Pierre Lacroix, Under‑Secretary‑General for Peace Operations, said that the United Nations strategic review of UNISFA proposes two viable options for the reconfiguration of the mission. One would keep overall force numbers close to what they are currently, and the second would slightly reduce the troop ceiling, a move that will require more operational adjustments but should encourage Sudan and South Sudan to move forward on outstanding issues with increased urgency.
It is also recommended that the United Nations establishes a rule of law support strategy, and keeps the Joint Border Verification and Monitoring Mechanism intact, he said, adding that negotiations towards a political settlement concerning Abyei remain crucial building blocks towards an exit strategy for UNISFA. In that regard, a set of benchmarks should be established in close coordination with the two countries, including specific requirements for the inclusion of women."</t>
  </si>
  <si>
    <t>https://reliefweb.int/report/south-sudan/issuing-presidential-statement-security-council-requests-establishing-integrated</t>
  </si>
  <si>
    <t>UN; IGAD</t>
  </si>
  <si>
    <t>"In partnership with R-JMEC, UNMISS supported the Strategic Defence and Security Review Board’s workshop to advance the completion of the Security Policy Framework, as outlined in the peace agreement."</t>
  </si>
  <si>
    <t>https://reliefweb.int/report/south-sudan/statement-guang-cong-deputy-special-representative-un-secretary-general-political</t>
  </si>
  <si>
    <t>"'Let me assure you that we shall continue to work together in the spirit of transparency and consultative partnership,' said Louis Lobong Lojore, Governor of Eastern Equatoria, South Sudan.
Governor Lobong was speaking at a three-day county commissioners forum held in the state capital Torit.
Thematically, the gathering, organized by the United Nations Mission in South Sudan (UNMISS) dealt with establishing a sustainable, democratic and decentralized system of locally led governance.
The main aim: To harmonize actions taken by the state government towards protecting civilians and upholding the rule of law across all counties in Eastern Equatoria. Some 60 county commissioners, ministers, and other stakeholders participated in the workshop."</t>
  </si>
  <si>
    <t>https://reliefweb.int/report/south-sudan/unmiss-partners-eastern-equatoria-state-government-address-existing-challenges</t>
  </si>
  <si>
    <t>"Juba, 23 November 2021: It gives me great pleasure to join you during this opening session of the 5th Governors’ Forum under the theme of “Role of the States and Special Administrative Areas in the implementation of the Revitalized Peace Agreement for a peaceful, stable and prosperous South Sudan”. This event offers a platform for South Sudan’s leaders to develop mutual priorities for an interconnected and purposeful government, one that is equipped to advance the search for lasting peace in South Sudan.
Following the appointment of state governors and other constitutional post holders, UNMISS had immediately embarked on a series of interactive dialogues to foster political cohesion and trust between members of the coalition state governments.
As precursor to this Forum, UNMISS facilitated nine Governor’s Forums in all states except Unity, due to devastating floods. These events facilitated engagements between state governors and local stakeholders to identify governance-related priorities in their respective states and prepare action plans towards delivering them.
We are pleased that these Governors’ Forums led to the creation of a strategic plan for each state, addressing priorities enshrined in the Revitalized Agreement. These plans will be presented to you here over the coming days.
We have also organised six State Leadership Retreats around the theme of “Building Trust and Confidence for United and Inclusive Governments”. Here, we disseminated the Revitalized Agreement to encourage greater ownership of its priorities. Importantly, these retreats offered an opportunity for the state governments to better appreciate their respective roles and to foster the much-needed state-level synergies for unity.
These activities served as a timely entry point for capacity-building, training, and general brainstorming. They also offered a formal introduction for newly appointed office holders at the grassroots level. In some states, the Mission has cascaded this approach to the county commissioners as well as the Payam level."</t>
  </si>
  <si>
    <t>https://reliefweb.int/report/south-sudan/statement-mr-nicholas-haysom-special-representative-secretary-general-5th</t>
  </si>
  <si>
    <t xml:space="preserve">The term 'other' refers to the training and capacity building offered by UNMISS. </t>
  </si>
  <si>
    <t>https://reliefweb.int/report/south-sudan/unmiss-overcomes-barriers-peace-through-cultural-exchanges-among-communities</t>
  </si>
  <si>
    <t>"[A]n essential step to kick start consultations was taken a month earlier by the Reconstituted Joint Monitoring and Evaluation Commission.
Needless to say, rulemaking requires rules. On 25-28 May, this body, tasked with overseeing the implementation of the peace deal, therefore held an initial workshop where stakeholders proposed the guidelines and legislation that will govern the elaboration of the greater book of political rules, the permanent constitution. The suggestions made will be turned into laws to be approved by the national legislative assembly."</t>
  </si>
  <si>
    <t>https://reliefweb.int/report/south-sudan/south-sudan-10-status-implementaion-r-arcss-country-marks-10th-independence-day</t>
  </si>
  <si>
    <t>https://reliefweb.int/report/south-sudan/constitution-making-south-sudan-work-progress-many-complexities-clear-goal</t>
  </si>
  <si>
    <t>"The Troika (United States, United Kingdom, and Norway) is deeply dismayed by reports that the National Security Service forced the cancelation of a civil society panel discussion on the constitutional history of South Sudan on July 17. For peace to take hold, South Sudanese must be able to speak freely. Article 6.13 of South Sudan’s revitalized peace agreement states that “The process of permanent Constitution-making shall be led and owned by the people of South Sudan.” As such, the constitution-making process must be open and inclusive, and must incorporate the voices of South Sudanese citizens, whether through the formal process or through the exercise of the freedom of speech and assembly. We take note of the agreement by transitional government parties during the May 25-28 Workshop on the Permanent Constitution-Making Process on the need for an inclusive and participative process."</t>
  </si>
  <si>
    <t>https://reliefweb.int/report/south-sudan/troika-statement-freedom-expression</t>
  </si>
  <si>
    <t>"[I]n the UNMISS mandate, the Security Council requested an electoral needs assessment in support of elections at the end of the transitional period. The assessment team visited Juba and engaged with the government and a cross-section of stakeholders. They also consulted IGAD, the AU and the wider diplomatic community. Their findings have been submitted to the Security Council and should soon be published.
These developments indicate the continuing commitment of the Transitional Government and international partners to focus on making progress along the broad set of benchmarks needed to progress the transitional period."</t>
  </si>
  <si>
    <t>https://reliefweb.int/report/south-sudan/statement-mr-nicholas-haysom-special-representative-secretary-general-18th-rjmec</t>
  </si>
  <si>
    <t>"In March 2021, in its resolution 2567 (2021), the Security Council requested the Secretary-General, in accordance with best practices, to conduct and provide to it, no later than 15 July 2021, a needs assessment, including security, procedural and logistical requirements to create an enabling environment for elections in South Sudan. Accordingly, throughout the month of May 2021, a team led by the Electoral Assistance Division of the Department of Political and Peacebuilding Affairs, with a representative of the Eastern Africa Division of the Department, and of the United Nations Development Programme, conducted an electoral needs assessment for South Sudan. The team held remote meetings and travelled to Juba, Malakal and Addis Ababa from 6 to 26 May to meet with key interlocutors, namely the Government of South Sudan, the African Union, the Intergovernmental Authority on Development (IGAD), the Reconstituted Joint Monitoring and Evaluation Commission, th e interim National Election Commission, civil society, political parties, the media, the diplomatic community and a wide range of other stakeholders.
The needs assessment team found that, while aspirations for peaceful and credible elections run high in South Sudan, they are tempered by ubiquitous concerns over a fragile security situation and a challenging political and socioeconomic environment."</t>
  </si>
  <si>
    <t>https://reliefweb.int/report/south-sudan/electoral-needs-assessment-south-sudan-secretary-general-s-summary-security</t>
  </si>
  <si>
    <t>"(Nairobi) – The African Union Commission’s failure to advance justice for the countless victims of atrocities in South Sudan raises concerns about the regional body’s commitment to accountability, 34 South Sudanese, regional, and international rights organizations said in a letter to the AU Commission released today.
The South Sudanese government, after years of delay, announced on January 29, 2021 that it had approved the establishment of the Hybrid Court for South Sudan, along with truth telling and compensation mechanisms, provided for under the 2018 Revitalized Agreement on the Resolution of Conflict in South Sudan, which ended the country’s brutal civil war. The AU Commission chairperson, Moussa Faki Mahamat, welcomed the statement and promised to work with the government to create the court. But six months on, the rights groups said they have found no evidence of any concrete action taken, and the AU has not responded to their June 14 letter."</t>
  </si>
  <si>
    <t>https://reliefweb.int/report/south-sudan/south-sudan-african-union-disappoints-justice</t>
  </si>
  <si>
    <t>https://www.hrw.org/news/2021/08/05/letter-au-commission-chairperson-south-sudan-civil-society-organizations</t>
  </si>
  <si>
    <t>https://www.hrw.org/sites/default/files/media_2020/10/Webinar%20Report%20-%20Establishment%20of%20the%20AU%20Hybrid%20Court%20for%20South%20Sudan.pdf</t>
  </si>
  <si>
    <t>As part of the Revitalized Agreement on the Resolution of the Conflict in South Sudan, the EU, Norway, Ireland, Japan, the UK, China, and the USA became the main donors of the Ceasefire and Transitional Security Arrangements Monitoring and Verification Mechanism (CTSAMVM).</t>
  </si>
  <si>
    <t>https://ctsamvm.org/composition-functions/</t>
  </si>
  <si>
    <t>CTSAMVM</t>
  </si>
  <si>
    <t>AUGUST 2021 "IGAD, UNMISS, RJMEC and CTSAMVM are ready and committed to provide support to the Parties to aid in resolving the extant challenges relating to the Transitional Security Arrangements and towards the timely and full implementation of the R-ARCSS. In this regard, IGAD, UNMISS, RJMEC and CTSAMVM have agreed to forge a closer working relationship with a view to coordinate and synchronize efforts towards a smooth transition to sustainable peace, prosperity and development in South Sudan."</t>
  </si>
  <si>
    <t>https://reliefweb.int/report/south-sudan/joint-statement-igad-unmiss-rjmec-and-ctsamvm-current-challenges-implementation-r</t>
  </si>
  <si>
    <t>"Cattle raids, revenge killings and land disputes have led to a recurring cycle of conflict in the remote Lopit area of Lafon in Eastern Equatoria.
People living in Lohutok and Ibahure payams (administrative divisions) are perhaps worst affected by this ongoing violence, as a patrol team from the United Nations Mission in South Sudan (UNMISS) discovered.
“We are tired of the constant fighting,” stated Pasqual Osenger, a traditional leader from Lohutok, to visiting peacekeepers. “It has left us without security, affected our crops and livestock and our general quality of life. We request UNMISS to ensure that this conflict between our communities ends once and for all.”
Lack of proper rule of law and security institutions in the area have, unfortunately, empowered perpetrators.
While speaking to the patrolling peacekeepers, community leaders stressed the need for established law and order mechanisms as well as reconciliation activities here. “To keep the peace between us, we believe we need a proper security system and well-demarcated areas where both communities can coexist peacefully,” added Mr. Osenger.
UNMISS has made several efforts in the past to reconcile the communities of these two payams. However, the peacekeeping mission hasn’t had much success in establishing a sustained peace.
“The UN has tried many times to resolve issues between us,” revealed a youth representative. “However, because of our own long history and disagreements between our leaders, no agreement has held till now. We seem to relapse into conflict at the slightest issue and we are aware that this must stop.”
For its part, UNMISS, through its Civil Affairs Division, has re-started engaging with communities across South Sudan in general, and Lafon, in particular, to sensitize them on the provisions contained within the Revitalized Peace Agreement."</t>
  </si>
  <si>
    <t>https://reliefweb.int/report/south-sudan/traditional-leaders-lopit-call-unmiss-reconcile-feuding-communities-lafon-eastern</t>
  </si>
  <si>
    <t>"August 20, 2021 (KHARTOUM/JUBA) - The visiting Prime Minister Abdallah Hamdok and First Deputy Riek Machar discussed for the second time on Friday the stalled implementation of the revitalized peace agreement.
Hamdok who is also the IGAD Chair is on a three-day visit to Juba to discuss the peace implementation process in South Sudan, relations between the two Sudans and regional issues.
Accompanied by his Political Adviser Yasir Arman and Special Envoy to South Sudan Jamal Malik, he discussed with Machar security arrangements particularly the share of signatory groups in the united national army....The SPLM-IO says the SPLM-IG led by President Kiir incites the defection of SPLA-Io commanders to weaken the main opposition group. Also, they say that the Kiir faction refuses the formation of the united army on an equal basis, as it was agreed between the peace parties, and proposes only 40% for them.
During his meeting with Hamdok on Thursday, Kiir called to press the SPLM-IO to resolve their differences peacefully and to avoid the use of weapons. The President was referring to the clashes in the White Nile State near the border with Sudan between Machar forces and a splinter faction led by Simon Gatwech Dua.
On Friday, Hamdok met with the IGAD ambassadors in Juba to brief them about the outcome of his talks with the South Sudanese leaders on the implementation of the revitalized peace pact."</t>
  </si>
  <si>
    <t>https://reliefweb.int/report/south-sudan/hamdok-machar-hold-2nd-meeting-south-sudan-s-peace-implementation</t>
  </si>
  <si>
    <t>"Almost three years after the signing of the peace deal, South Sudan’s Transitional National Legislative Assembly has been reconstituted in a formal ceremony presided over by President Salva Kiir."</t>
  </si>
  <si>
    <t>https://reliefweb.int/report/south-sudan/south-sudan-s-transitional-national-legislative-assembly-opens-business</t>
  </si>
  <si>
    <t>"Three years ago today, a peace deal was signed between warring parties in South Sudan, ending a long and bloody civil war. But the country is still struggling to fully implement the agreement and deliver the peace, recovery, and development it promised its people.
The need to urgently progress security arrangements and the peace process more broadly was top of the agenda when the United Nations Under-Secretary-General, Jean-Pierre Lacroix, met the country’s President, Salva Kiir in the capital Juba.
“We discussed the situation regarding the efficient and effective implementation of the Revitalized Peace Agreement. We appreciated the efforts that have been made in this regard since the signing of the agreement and reiterated our support for further progress to be made,” said Mr. Lacroix after the hour-long discussion.
The overwhelming focus of the USG’s second day in the conflict-affected country was how to expedite reform of the security sector, required under the peace agreement. The graduation and deployment of unified forces has been repeatedly delayed and troops are struggling to survive in cantonment sites without basic support, including food and shelter. The Government claims a key obstacle is arms embargo."</t>
  </si>
  <si>
    <t>https://reliefweb.int/report/south-sudan/political-and-security-discussions-dominate-meeting-between-un-peace-chief-and</t>
  </si>
  <si>
    <t>"Many areas are water-logged which is creating additional hardship for people already suffering as the result of sporadic fighting between community militia groups as well as persistent cattle-raiding. People have lost their crops, livestock and their homes and don’t have the income to support themselves, let alone rebuild their lives.
As part of a four-day peace mission to South Sudan, the Under-Secretary-General for United Nations Peace Operations visited the area to see first-hand the impact on communities."</t>
  </si>
  <si>
    <t>https://reliefweb.int/report/south-sudan/un-peace-chief-visits-conflict-and-flood-affected-malakal-south-sudan</t>
  </si>
  <si>
    <t>https://reliefweb.int/report/south-sudan/situation-south-sudan-report-secretary-general-s2021784-enar</t>
  </si>
  <si>
    <t>"From 15 to 18 July, the peace talks led by the Community of Sant’Egidio between the Revitalized Transitional Government of National Unity and the South Sudan United Front/Army and the Real SPLM faction of the South Sudan Opposition Movements Alliance (SSOMA) took place in Rome. The Real SPLM faction of SSOMA recommitted to its integration into the Ceasefire Transitional Security Arrangements Monitoring and Verification Mechanism and presented its nominees to the body. The parties also outlined a road map for moving the talks forward over the coming months. On 20 July, the Minister of Presidential Affairs, Barnaba Marial, informed the public of efforts to bring the National Salvation Front (NAS), the other SSOMA faction, led by Thomas Cirillo, back to the peace talks....On 17 August, the President strongly condemned an attack on the Juba-Nimule road in a statement and blamed holdout groups for the deaths of civilians, including two nuns, in the attack. On 30 August, the President said that the Revitalized Transitional Government of National Unity had decided to pause the Sant’Egidio-led talks with SSOMA, stating that talks would only resume after SSOMA ceased hostilities"</t>
  </si>
  <si>
    <t>"The Council tasked the Executive Secretary of IGAD, Workneh Gebeyehu, and the IGAD Special Envoy, Ismail Wais, to support the Chair of IGAD in mediating the dispute within SPLM/A-IO."</t>
  </si>
  <si>
    <t>"Juba, 19 September 2021: A joint delegation of international partners to the peace process in South Sudan visited Tambura, Western Equatoria State on 16 September 2021, to encourage peaceful solutions to the conflict that has led to the killing and injuring of civilians, the displacement of over 80,000 people, destruction of private and public property, and the suspension of humanitarian operations.
The delegation concluded that unless urgent action is taken by the Revitalized Transitional Government of National Unity to end the fighting, there is an imminent risk that further escalation will endanger vulnerable populations, exacerbate the dire humanitarian situation, and threaten successful implementation of the 2018 Revitalised Agreement on the Resolution of the Conflict in the Republic of South Sudan. From engagements with local stakeholders, it became clear that the root causes of the conflict can only be addressed through full implementation of the Agreement and, most urgently, the unification of forces and their deployment.
The delegation included representatives from the Intergovernmental Authority on Development (IGAD), the Reconstituted Joint Monitoring and Evaluation Commission (R-JMEC), Ambassadors and diplomats from Djibouti, Ethiopia, Kenya, Norway, Sudan, and Uganda, the acting Humanitarian Coordinator (HC) and the United Nations Mission in South Sudan (UNMISS).
The delegation urges an immediate cessation of hostilities and welcomes the Presidency’s decision to investigate recent events through a Joint Defence Board team, led by Lt. Gen. Wesley Welebe. It also looks forward to the Government’s implementation of its recommendations, especially the removal of fighting forces from the area and the recall to Juba of leaders of the various factions."</t>
  </si>
  <si>
    <t>https://reliefweb.int/report/south-sudan/joint-statement-igad-r-jmec-representatives-african-diplomatic-community-norway</t>
  </si>
  <si>
    <t>The term 'other' refers to the visiting delegation of international partners to the South Sudan peace process.</t>
  </si>
  <si>
    <t>"UNMISS Force Commander, Lieutenant-General Shailesh Tinaikar, recently visited Marial Lou, Warrap state, to see first-hand the situation on the ground.
Accompanied by Anastasie Nyirigira Mukangarambe, the Head of the UNMISS Field Office in the state, Force Commander Tinaikar was also joined by state officials, including Acting State Governor Debora Uduel Akiech and other prominent state authorities.
The Force Commander’s visit came on the heels of recent intercommunal clashes. The most recent upsurge of violence in early July displaced some 5,000 people; schools, churches, and health centers were vandalized and a World Food Programme warehouse was looted by armed youth .
Wol Mario Maalok, acting payam administrator in Marial Lou briefed the visiting delegation on the situation. “The conflict between all of us has taken a toll and all parties have agreed that the only way forward for us is to resolve things peacefully so that our children can live free of fear and retaliation. In fact, many people who had fled when the clashes initially began, have now started returning to their homes.”
However, humanitarian needs still to be addressed.
“We lack medical facilities, shelter and food, though the presence of UNMISS peacekeepers here has enabled hospital staff to resume their duties. Many people lost everything during the conflict, and they need help to get back on their feet,” added Mr Maalok.
For her part, Acting Governor Akiech reiterated the state administration’s commitment to supporting long-term peace and conflict resolution in Marial Lou, saying that the government is in the process of convening a peace dialogue between the three feuding communities.
"</t>
  </si>
  <si>
    <t>https://reliefweb.int/report/south-sudan/unmiss-warrap-state-authorities-visit-marial-lou-appeal-peace-and-reconciliation</t>
  </si>
  <si>
    <t>Actor Type</t>
  </si>
  <si>
    <t>South Kordofan; Nuba Mountains; Blue Nile; Abyei</t>
  </si>
  <si>
    <t>Local Peace Agreement in Warrap State's Tonj Area</t>
  </si>
  <si>
    <t>"Yearlong conflicts in Warrap State’s Greater Tonj area prompted a three-day joint dialogue on peace and reconciliation supported by the United Nations Mission in South Sudan (UNMISS) and conducted in Marial Lou, Tonj North.
The community members raised several of the most contentious issues, including civilian disarmament, compensation for looted property, roadblocks, and the lack of justice in life-threatening criminal proceedings. The gathering concluded with an agreement reached by all parties.
Mary Angara, a women representative from Marial Lou, praised the Mission’s presence in the area, saying that it has contributed to reaching relative peace among the communities living there."</t>
  </si>
  <si>
    <t>https://reliefweb.int/report/south-sudan/dialogue-peace-and-reconciliation-warrap-state-s-tonj-area-concludes-agreement</t>
  </si>
  <si>
    <t>The term 'other' refers to the UN's support of the conference.</t>
  </si>
  <si>
    <t>"The UN Commission on Human Rights in
South Sudan (CHRSS), in collaboration with
the Office the High Commissioner for
Human Rights (OHCHR) and the UN
Mission in South Sudan (UNMISS),
convened a high-level Conference on
Sustaining Momentum for Transitional
Justice in South Sudan from 13 to 15
December 2021.1 The Conference was held
in hybrid format: physically in Nairobi –
Kenya and also hosted virtually.
The Conference brought together 70
participants including a high-level
delegation of representatives from the South
Sudan Revitalized Government of National
Unity’s (R-TGoNU) Ministries of Justice
and Constitutional Affairs (MoJCA),
Defence and Veterans’ Affairs, Gender,
Child and Social Welfare, Peacebuilding,
Interior and Foreign Affairs. The African
Union (AU) was represented by the
Commissioner for Political Affairs and
Peace and Security (PAPS), Director of the
Office of Legal Counsel and African
Commission on Human and Peoples’ Rights
(ACHPR) Commissioner in charge of South
Sudan. Representatives of the Revitalised
Joint Monitoring and Evaluation
Commission (R-JMEC), the InterGovernmental Authority on Development
(IGAD), United Nations Development
Project (UNDP), South Sudan Transitional
Justice Working Group, the Technical
Committee on National Consultations for establishment of the Commission on Truth Reconciliation and Healing, and the South Sudan national Human Rights Commission, as well as members of the diplomatic corps, development partners, academia, international, regional and national civil society and experts on transitional justice also attended the Conference....The Conference culminated in the adoption
of the Resolutions summarized below,
which include key policy measures aimed at
sustaining momentum for transitional
justice in South Sudan.5 The Conference
participants committed by consensus to
implement the Resolutions within six
months - between January and June 2022 –
led by the R-TGoNU, with the support and
collaboration of national, regional, and
international actors and stakeholders. "</t>
  </si>
  <si>
    <t>https://www.ohchr.org/sites/default/files/2022-02/Summary_Resolutions_Conference_13-15_Dec_2021.pdf</t>
  </si>
  <si>
    <t>"WARRAP – “Building peace takes time, commitment and support,” said Piol Buoi, state Minister for Peacebuilding, Warrap. “The United Nations Mission in South Sudan and peace actors have been our constant partners and, therefore, we are making stellar progress across the state.”
Minister Buoi was speaking at the conclusion of a three-day conference in Tonj North where leaders from 11 *payams *[administrative divisions] signed a resolution agreeing to put an end to intercommunal conflict in the region, which has been ongoing for the past three years.
Moreover, they also agreed to resolve existing disputes through amicable mediation in accordance with existing justice frameworks.
The peace conference, organized in collaboration with the United Nations Development Programme (UNDP) and other stakeholders on the ground, drew more than 500 participants, including traditional leaders, community members, women and youth representatives; it provided them a platform to openly address their concerns and come up with ways to resolve these without having to resort to violence."</t>
  </si>
  <si>
    <t>https://reliefweb.int/report/south-sudan/three-day-conference-supported-unmiss-results-11-communities-reaching-peace</t>
  </si>
  <si>
    <t>"The UN Commission on Human Rights in South Sudan (CHRSS), in collaboration with the Office the High Commissioner for Human Rights (OHCHR) and the UN Mission in South Sudan (UNMISS), convened a high-level Conference on Sustaining Momentum for Transitional Justice in South Sudan from 13 to 15 December 2021.1 The Conference was held in hybrid format: physically in Nairobi – Kenya and also hosted virtually. The Conference brought together 70 participants including a high-level delegation of representatives from the South Sudan Revitalized Government of National Unity’s (R-TGoNU) Ministries of Justice and Constitutional Affairs (MoJCA), Defence and Veterans’ Affairs, Gender, Child and Social Welfare, Peacebuilding, Interior and Foreign Affairs. The African Union (AU) was represented by the Commissioner for Political Affairs and Peace and Security (PAPS), Director of the Office of Legal Counsel and African Commission on Human and Peoples’ Rights (ACHPR) Commissioner in charge of South Sudan. Representatives of the Revitalised Joint Monitoring and Evaluation Commission (R-JMEC), the InterGovernmental Authority on Development (IGAD), United Nations Development Project (UNDP), South Sudan Transitional Justice Working Group, the Technical Committee on National Consultations for establishment of the Commission on Truth Reconciliation and Healing, and the South Sudan national Human Rights Commission, as well as members of the diplomatic corps, development partners, academia, international, regional and national civil society and experts on transitional justice also attended the Conference....The Conference culminated in the adoption of the Resolutions summarized below, which include key policy measures aimed at sustaining momentum for transitional justice in South Sudan.5 The Conference participants committed by consensus to implement the Resolutions within six months - between January and June 2022 –led by the R-TGoNU, with the support and collaboration of national, regional, and international actors and stakeholders. "</t>
  </si>
  <si>
    <t>Resolutions toward implementing transitional justice</t>
  </si>
  <si>
    <t>"WESTERN EQUATORIA – Can traditional and community leaders be be successful intermediaries between local authorities and citizens? How can they bridge gaps between customary courts and the formal justice system? What needs to be done include more women in leadership positions among communities?
These were key questions and challenges debated in Yambio, Western Equatoria, where some 30 local leaders from all 10 counties came together at a forum facilitated by the United Nations Mission in South Sudan (UNMISS).
The main aim of the gathering: Improving justice delivery to promote peace and security at the grassroots by coming up with feasible ways to integrate customary or traditional laws with formal justice systems."</t>
  </si>
  <si>
    <t>https://reliefweb.int/report/south-sudan/unmiss-builds-capacities-among-traditional-leaders-and-women-access-justice</t>
  </si>
  <si>
    <t>"CENTRAL EQUATORIA - “Local solutions are the best solutions. The problems in South Sudan are ours and we have the ability and capacity to solve them and take this country forward.”
Yei River County Commissioner, Aggrey Cyrus Kanyi, is a passionate advocate for grassroots-driven solutions to the myriad of complex problems confronting communities in the southern part of Central Equatoria.
His call to take ownership of the peace and recovery process was echoed by many other stakeholders at the launch of an innovative new programme to promote social cohesion between politically divided communities and to pave the way for recovery across the region.
The programme is designed to help communities in Yei, Lainya, Morobo and Kajo-Keji reconcile and end violence, bring stability to where they live, and create new incentives to sustain peaceful coexistence.
It is funded by generous donations from the governments of Norway, Germany, Sweden, the Netherlands and Canada through the UN Multi-Partner Trust Fund for Reconciliation, Stabilization, and Resilience in South Sudan (RSRTF), a joint initiative of the UN Mission in South Sudan and the UN Country Team.
More than 50 government, religious, civil society, UN, and Non-Governmental Organization representatives came together in Yei for the official launch."</t>
  </si>
  <si>
    <t>https://reliefweb.int/report/south-sudan/new-project-drive-stability-and-peace-central-equatoria-launched-trust-fund</t>
  </si>
  <si>
    <t>The term 'other' refers to the actor's support of the local initiative.</t>
  </si>
  <si>
    <t>"TAMBURA – Protracted conflict has displaced tens of thousands, killed many and led to the destruction of homes, public infrastructure and farms in greater Tambura, Western Equatoria, this year.
Following the deployment of peacekeepers from the United Nations Mission in South Sudan (UNMISS) to a temporary base here and consolidated efforts by local authorities, a fragile peace has finally been established and communities here can slowly begin to recover and rebuild their lives.
The UN Peacekeeping mission has also been consistently engaging with interlocuters at the grassroots to build renewed calm and stability from the ground up.
As such, the ongoing 16 Days of Activism provided UNMISS a platform to convene and connect with local communities through a series of trust-building activities which included sports and roundtable discussions on eliminating all forms of violence against women."</t>
  </si>
  <si>
    <t>https://reliefweb.int/report/south-sudan/following-months-conflict-unmiss-helps-communities-consolidate-fragile-peace</t>
  </si>
  <si>
    <t>"WARRAP - As part of the 16 Days of Activism campaign, the United Nations Misison in South Sudan (UNMISS) is hosting numerous awareness-raising and solidarity-building activities centered around empowering women and girls in Warrap, South Sudan.
The official launch took place in Kuajok Freedom Square in collaboration with the state Ministry of Gender, Children, and Social Welfare and local partners, where some 3,000 representatives from the government, the South Sudan National Police Service, county representatives, the National Disabled Association, women and youth groups, civil society, and students came together."</t>
  </si>
  <si>
    <t>https://reliefweb.int/report/south-sudan/unmiss-partners-mark-16-days-activism-through-series-meaningful-events-warrap</t>
  </si>
  <si>
    <t>"(Nairobi/Geneva) 15 December 2021 -- Key stakeholders to transitional justice processes in South Sudan today adopted a joint strategy and plan of action to accelerate the implementation of existing commitments under the 2018 Revitalised Peace Agreement. This concluded the "Conference on sustaining momentum for transitional justice in South Sudan," held virtually and in Nairobi from 13 to 15 December.
Initiated by the United Nations Commission on Human Rights in South Sudan, participants included representatives of: the Revitalised Transitional Government of National Unity of the Republic of South Sudan; the Transitional Justice Working Group representing civil society and victims' groups; the Reconstituted Joint Monitoring and Evaluation Commission for the 2018 Revitalized Agreement; and delegates of the African Union and the UN system.
Commission Chair Yasmin Sooka opened the Conference by identifying the centrality of transitional justice processes to peace and nation-building. "Transitional justice is about truth recovery, accountability, reparations for survivors, and institutional reform. If done well, this has the potential to restore the trust of South Sudanese people in the State, and to signal the government's commitment to work for all its people, irrespective of ethnic identity," she said."</t>
  </si>
  <si>
    <t>https://reliefweb.int/report/south-sudan/high-level-conference-held-sustain-momentum-transitional-justice-south-sudan</t>
  </si>
  <si>
    <t>"The failure of the parties to reach an agreement on command ratios have promoted a fracturing of the SPLM/A-IO. Since my last briefing, mediation efforts that began in Khartoum—seeking to bridge the divide on Chapter II issues, and to heal the SPLM/A-IO split with its Kitgwang faction—have been undermined by the political crisis in Sudan."</t>
  </si>
  <si>
    <t>"March 2, 2022 (JUBA) – South Sudanese leaders participating in the transitional government have received invitations from Ugandan President Yoweri Museveni to participate in a retreat to review the status of the ongoing implementation of the revitalized peace agreement.
The invitations, according to the Presidential Affairs Minister Barnaba Marial Benjamin, have been extended to President Salva Kiir, First Vice President Riek Machar, and all the other deputies at the presidency.
The meeting which was due to be held in February has been repeatedly delayed and pushed to March....The leaders are expected to go hold discussions about how they would resolve to implement the peace agreement and move the country forward into elections slated for 2023."</t>
  </si>
  <si>
    <t>https://sudantribune.com/article255902/</t>
  </si>
  <si>
    <t>"Juba, 1 April 2022 : A high-level joint delegation comprising of Special Representative of the Chairperson and Head of the AU Mission in South Sudan, HE Amb. Prof. Joram Biswaro, Special Representative of the Secretary-General and Head of the UN Mission in South Sudan, Prof. Nicholas Haysom, Special Envoy of IGAD for South Sudan, HE Amb. Dr Ismail Wais, and Interim Chairperson of the Reconstituted Joint Monitoring and Evaluation Commission (RJMEC) HE Maj. Gen. Charles Tai Gituai (rtd), held two days of consultations with the Presidency of the Republic of South Sudan on recent matters of concern in the country.
On Wednesday 30 March 2022, the delegation met HE President Salva Kiir Mayardit, and HE First Vice President Dr. Riek Machar Teny, and on Thursday 31 March 2022, met Excellencies Vice Presidents Mama Rebecca Nyandeng de Mabior, Dr. Wani Igga, and Gen Taban Deng Gai.
The delegation encouraged the reaffirmation by both the President and the First Vice President that they would not return the country to war, urging them to de-escalate the heightened political tensions, dialogue amongst themselves to address any concerns, and return to full implementation of the Agreement. In the meeting with the President, the delegation acknowledged his intervention by him through the news conference of Monday 28 March 2022, which helped reduce the anxieties in Juba and across the country.
The delegation underlined the importance for the members of the Presidency to recommit to the full implementation of the 2018 Peace Agreement, and urged them to fulfill their commitments in order to demonstrate to the nation their true desire for peace. It welcomed their preparedness and willingness to meet and discuss their differences in the implementation of the Agreement. The delegation encouraged them to uphold dialogue and improve the communication between and among members of the Presidency."</t>
  </si>
  <si>
    <t>https://reliefweb.int/report/south-sudan/aumiss-unmiss-igad-and-rjmec-appeal-calm-and-urge-south-sudanese-leaders-pursue</t>
  </si>
  <si>
    <t>"WESTERN BAHR-EL-GHAZAL- The return of refugees and internally displaced persons to their homes is a significant peace dividend, but it is one that comes with a challenge: how does one successfully resettle and reintegrate these returnees without creating conflicts between hosts and newcomers?
When recent political tensions are added to the mix, as is the case in Raja County in Western Bahr-el-Ghazal State, the task becomes even more complex.
“The frictions we are witnessing risk leading to intercommunal conflicts resulting in huge losses of lives and property. For this reason, our youth must change their attitudes when it comes to revenge attacks. They need to understand that peaceful dialogue is the way to create social cohesion and unity,” said Santino Kornick Sali, Executive Director in Raja County.
To discuss and address these issues, the national non-governmental organization Community Empowerment for Progress Organization (CEPO), the United Nations Mission in South Sudan (UNMISS) and the state government gathered key stakeholder in the area for a two-day dialogue."</t>
  </si>
  <si>
    <t>https://reliefweb.int/report/south-sudan/unmiss-addresses-intercommunal-tensions-dialogue-forum-raja-county</t>
  </si>
  <si>
    <t>"EASTERN EQUATORIA - For sustainable peace to flourish, communities themselves must build it from the ground up.
That's why the United Nations Mission in South Sudan (UNMISS)and the United Nations Development Programme (UNDP) supported the Ministry of Local Government and Law Enforcement in Eastern Equatoria to bring together 60 community leaders, executive officers from local administrations, and representatives from communities for an intensive training on applying prevailing customary law to mitigate conflict and settle disputes peacefully.
The two-day workshop held in the state capital Torit was facilitated by the South Sudan Local Government Board and sought to promote community ownership of violence reduction."</t>
  </si>
  <si>
    <t>https://reliefweb.int/report/south-sudan/unmiss-undp-and-government-partners-train-traditional-leaders-resolve-disputes</t>
  </si>
  <si>
    <t>The term 'other' refers to the UN's support of the session and provision of training to local leaders.</t>
  </si>
  <si>
    <t>"UPPER NILE – There can be no durable peace without a strong commitment from the people of South Sudan themselves.
That was the main takeaway from an inter-county gathering in Malakal, Upper Nile, facilitated by the state Ministries of Local Government and Law Enforcement and Peacebuilding, respectively, in partnership with the United Nations Mission in South Sudan (UNMISS).
In past years, communities from Akoka, Baliet, Fashoda, Makal and Panyikang have been at loggerheads, with disputes among them often escalating into full-blown conflict that led to loss of lives and property as well as large-scale displacement.
However, this meeting sought to promote an inclusive dialogue between leaders of these sparring communities with the ultimate aim of transforming enmity into a shared commitment to a prosperous, peaceful future.
The interactive sessions dealt with a range of topics such as the Revitalized Peace Agreement, the government’s perspective on inter-county coordination, early warning mechanisms, the role of traditional authorities in conflict prevention and reconciliation, and the vital contributions of women as well as youth in promoting peace.
At the conclusion of the event, participants adopted an Action Plan to strengthen coordination between counties."</t>
  </si>
  <si>
    <t>https://reliefweb.int/report/south-sudan/joint-unmiss-and-state-government-forum-malakal-leads-action-plan-peaceful</t>
  </si>
  <si>
    <t>Inter-Communal Action Plan</t>
  </si>
  <si>
    <t>https://reliefweb.int/report/south-sudan/high-level-delegation-visiting-violence-plagued-unity-state-met-despair-and-pleas-protection</t>
  </si>
  <si>
    <t>"UNITY STATE- A high-level delegation recently visited communities affected by devastating violence in the southern part of Unity State.
Its members, including representatives of the African Union (AU), the Reconstituted Joint Monitoring and Evaluation Commission (R-JMEC), the African Diplomatic Corps (ADC), the European Union (EU), the Troika (Norway, USA and the UK) and the United Nations Mission in South Sudan (UNMISS) were not spared the gruesome details of what has transpired here since February."</t>
  </si>
  <si>
    <t>"Entebbe, Uganda, 17 May 2022 - The Joint Traditional Leaders’ Peace Conference, bringing together thirty leaders from the Misseriya and Ngok Dinka communities in Abyei, officially opened in Entebbe, Uganda on 17 May 2022. The three-day conference has been convened by UNISFA to facilitate dialogue between the leaders of the Misseriya and Ngok Dinka communities by providing a platform to find sustainable solutions to peaceful co-existence among the communities in Abyei.
In her opening address, the Special Envoy of Secretary-General for the Horn of Africa, Hanna Serwaa Tetteh, called on the wisdom of Misseriya and Ngok Dinka leaders to unlock any stalemate and find a solution towards peaceful coexistence within Abyei. While decrying the spike in insecurity in Abyei and loss of lives on both sides, Ms. Tetteh said that efforts during the three days conference are key to working with governments towards finding a lasting solution to peaceful co-existence."</t>
  </si>
  <si>
    <t>https://reliefweb.int/report/south-sudan/traditional-leaders-peace-conference-provides-platform-dialogue</t>
  </si>
  <si>
    <t>"Juba, 18 May 2022: A joint delegation comprising the African Union (AU), the Reconstituted Joint Monitoring and Evaluation Commission (R-JMEC), the African Diplomatic Corps (ADC), the European Union and its members states (EU), the Troika and the United Nations Mission in South Sudan (UNMISS) conducted a high-level solidarity and diplomatic mission to Bentiu, Leer and Mirmir on 12 May 2022 following clashes in Adok Port and surrounding areas.
The joint delegation had constructive and frank discussions with the Governor of Unity State, the County Commissioners of Koch, Leer and Mayendit, along with traditional leaders, women, youth and others directly impacted by the conflict. The joint delegation heard accusations and counteraccusations on the atrocities committed leading to deaths, injuries, abductions, sexual violence against women, displacements as well as the destruction of civilian property and the burning of schools.
The joint delegation expressed its solidarity with the people and Government of South Sudan and welcomed the announcement by President Salva Kiir Mayardit, of a high-level investigation committee and the deployment of SSPDF to help restore security in the area. The joint delegation supports government efforts towards restoring the rule of law and holding perpetrators to account. The joint delegation stands ready to support the committee in its work and urges the investigation committee to deploy swiftly to the area.
The joint delegation called on national and state authorities to urgently take additional measures to protect civilians and to address the root causes of the conflict. It recalls that the expeditious graduation of the unified forces will help fill security gaps at the local level. The delegation appealed to local and national leaders to use their influence to deescalate the violence, deterring any actions that may further inflame tensions, and encourage healing and reconciliation among communities.
The joint delegation commended UNMISS for deploying additional peacekeepers to patrol the affected areas to prevent additional loss of life by providing protection to the displaced and vulnerable people. It further commended UNMISS for facilitating access to humanitarian agencies that are responding to the needs of affected communities.
The joint delegation calls for a peaceful resolution to current tensions in Unity State. While violence has ebbed, any further mobilization could threaten a resumption of the clashes and risks additional delays in the implementation of the security arrangements of the peace agreement. The joint delegation reaffirms its commitment to remain seized with efforts towards overall peace in the country."</t>
  </si>
  <si>
    <t>https://reliefweb.int/report/south-sudan/joint-statement-au-r-jmec-adc-eu-troika-and-unmiss-situation-unity-state</t>
  </si>
  <si>
    <t>"19 May 2022, Entebbe, Uganda – In a major breakthrough, the Misseriya and Ngok Dinka traditional leaders have signed a peace accord reiterating their commitment to achieving lasting peace in Abyei Area.
The leaders committed to advocating for inter-community dialogue to promote the protection of women and children as well as livestock and property. They also pledged to be the tool for fostering peace between the two communities and to meet regularly in the quest for peace.
The four-point communique was signed by the Ngok Dinka Paramount Chief, Bulabek Deng Kuol and the leader of the Misseriya delegation, El Sadig Hireka Izzral Din, at the end of the three-day Joint Traditional Leader’ Peace Conference. The leaders pledged to support the initiatives at government level towards resolving the Abyei issue."</t>
  </si>
  <si>
    <t>https://reliefweb.int/report/south-sudan/unisfa-brokers-peace-accord-between-two-communities-abyei</t>
  </si>
  <si>
    <t>Peace Accord between the Misseriya and the Ngok Dinka</t>
  </si>
  <si>
    <t>"DENIS LOURO OLIVER WESTERN EQUATORIA - “By gathering here today, we have addressed many trivial misunderstandings and hate speech. It has made us come together as one, regardless of the political parties we belong to,” said Khamis John Brown, a member of Western Equatoria state’s parliament.
Mr Brown was speaking at the conclusion of a two-day workshop facilitated by the United Nations Mission in South Sudan (UNMISS) with civil society partner, Community for Development Organization (CEPO) for members of the Revitalized Transitional Government of National Unity in the state.
Participants included members of the legislative assembly as well as heads of organized forces.
The objective: To discuss ways and means in which these actors can work together in the spirit of compromise to improve the lives of citizens."</t>
  </si>
  <si>
    <t>https://reliefweb.int/report/south-sudan/joint-unmiss-cepo-workshop-good-governance-focuses-peace-progress</t>
  </si>
  <si>
    <t>"CENTRAL EQUATORIA – “Protecting civilians is our main credo as soldiers,” said Captain Luka Akimudan Ali.
Captain Ali, the commander of the South Sudan Peoples Defense Forces (SSPDF), was speaking at a workshop facilitated by the United Nations Mission in South Sudan (UNMISS) in Mugwo payam [administrative division] located in Yei county in South Sudan’s Eastern Equatoria state.
The focus of the workshop: to convene and connect community members, SSPDF personnel and local police in a bid to enhance voluntary returns and fortify a safe, secure environment for residents."</t>
  </si>
  <si>
    <t>https://reliefweb.int/report/south-sudan/unmiss-led-training-brings-together-communities-and-uniformed-personnel-mugwo-advocates-collective-efforts-build-peace</t>
  </si>
  <si>
    <t>"Abyei, 30 June 2022 – Over seven hundred people yesterday, gathered in Diffra to witness the inauguration of the Community Protection Committee (CPC) system in the Northern Sector of the Abyei Area to enhance the rule of law in the absence of the Joint Abyei Police Service as provided for in the 20 June 2011 Agreement between the government of the Republic of Sudan and the Sudan People’s Liberation Movement on the Temporary Arrangement for the Administration and Security of the Abyei. Until yesterday, the Community Protection Committee was only operational in the Southern part of the Abyei Area despite sustained efforts by UNISFA and consistent appeals by successive UNISFA resolutions to also establish it in the Northern part of the Area.
According to UNISFA Acting Head of Mission and Force Commander, Major General Benjamin Olufemi Sawyerr, the inauguration of the CPC comprising one hundred and sixty-two (161) volunteers including seven (7)) women fully endorsed by the traditional leadership and the local administration to serve as Community Protection Committee members in the Northern Sector of the Abyei Area is therefore ground-breaking. He announced that the inauguration would be closely followed by strengthening of the criminal justice system by bringing on board courts such as traditional courts and other forms of courts within Municipal law to handle criminal matters reported at CPC stations."</t>
  </si>
  <si>
    <t>https://reliefweb.int/report/south-sudan/history-made-unisfa-establishes-community-protection-committee-northern-abyei</t>
  </si>
  <si>
    <t>The term 'other' refers to the inauguration of the Community Protection Committee with the support of UNISFA (UN).</t>
  </si>
  <si>
    <t>"EASTERN EQUATORIA – The past three months have been a trying time for communities living in Ikotos county in South Sudan’s Eastern Equatoria state.
Conflict sparked in April this year because of a cattle raid; since then, the populations of Ikotos Central payam [administrative division] and Romula, a boma in Chorokol payam, have been involved in a saga of counter raids and revenge attacks, which have claimed some 20 lives till now.
Normal life has been completely disrupted; many people have abandoned their homes and farms, fleeing to safer locations, including outside the country.
“We want our voices to be taken seriously when we say that there is an urgent need for peace initiatives here. Violence is never a solution and we have been fighting and killing each other for far too long. At a time when we should be united, our communities are more divided than ever,” states Michael Moga Olukatuwa, chief of Chorokol, passionately.
Michael was speaking to an integrated peace team led by the United Nations Mission in South Sudan (UNMISS) that recently visited Ikotos to assess the security situation and convene with community members."</t>
  </si>
  <si>
    <t>https://reliefweb.int/report/south-sudan/ending-ongoing-tensions-ikotos-through-peaceful-dialogue-primary-concern-communities</t>
  </si>
  <si>
    <t>"WARRAP – Following an upsurge in violence in the remote Rualbet area of Warrap, an air patrol piloted by United Nations Mission in South Sudan (UNMISS) stands ready to take an integrated team of peace brokers to meet affected communities.
It’s an overcast day as UNMISS peacekeepers, state officials, humanitarian partners from the UN Office for the Coordination of Humanitarian Affairs (OCHA) duck under the whirring rotors to board.
The high-level delegation is on a meaningful mission: To convene and connect with affected communities plus find ways in which recovery and reconciliation can take place."</t>
  </si>
  <si>
    <t>https://reliefweb.int/report/south-sudan/unmiss-humanitarians-and-state-officials-visit-rualbet-engage-communities-foster-reconciliation</t>
  </si>
  <si>
    <t>RJMEC</t>
  </si>
  <si>
    <t>"[T]he RJMEC leadership held meetings with H.E Salva Kiir, President, Dr Riek Machar Teny, First Vice President, and the four Vice Presidents of the Republic of South Sudan."</t>
  </si>
  <si>
    <t>"On Thursday 1 September 2022, a historic vote took place at an Extraordinary Plenary meeting of the Reconstituted Joint Monitoring and Evaluation Commission (RJMEC). The vote was on whether or not to extend the Transitional Period and term of the Revitalised Transitional Government of National Unity (RTGoNU) by two years from 23rd February 2023 until 22nd February 2025.
The proposed extension was part of a Roadmap presented to the RJMEC members by the RTGoNU, known as the “Agreement on the Roadmap to a Peaceful and Democratic end to the Transitional Period of the Revitalised Agreement on the Resolution of the Conflict in the Republic of South Sudan.”
This was done in accordance with Article 8.4 of the Revitalised Agreement on the Resolution of the Conflict in the Republic of South Sudan (R-ARCSS), which requires that at least two-thirds of the voting members of RJMEC consent to an amendment of the Agreement, which is 29 of the total 43 members. 37 voted in favour of the extension.
The extension now requires ratification by the Transitional National Legislature, according to the constitutional amendment procedures set out in the Transitional Constitution of the Republic South Sudan, 2011 (as amended). However, it is important to point out that the Revitalised Peace Agreement remains the supreme document."</t>
  </si>
  <si>
    <t>Agreement on the Roadmap to a Peaceful and Democratic End to the Transitional Period of the Revitalised Agreement on the Resolution of the Conflict in the Republic of South Sudan</t>
  </si>
  <si>
    <t>https://reliefweb.int/report/south-sudan/implementing-roadmap-rjmec-emphasises-need-quick-results-and-peace-dividends-all-south-sudanese-people</t>
  </si>
  <si>
    <t>"September 30, 2022 ( ADDIS ABABA, Ethiopia): The Intergovernmental Authority on Development ( IGAD) and the Government of Ireland Embassy in Addis Ababa today signed a funding agreement towards supporting the Ceasefire and Transitional Security Arrangements Monitoring and Verification Mechanism ( CTSAMVM) in South Sudan. On behalf of the Government of Ireland, Ambassador Nicola Brennan of Ireland to Ethiopia and Djibouti and permanent representative to the African Union, IGAD and UNECA signed the funding agreement with Dr. Workneh Gebeyehu, the Executive Secretary of IGAD.
Both parties signed the funding agreement to support the CTSAMVM monitoring and verification activities in regards to the Ceasefire and Transitional Security Arrangements provided in the Revitalized Agreement for the resolution of the conflict in the Republic of South Sudan.
During the official signing ceremony, Dr. Workneh Gebeyehu disclosed that Irish assistance has remained crucial to sustaining the peace process in the Republic of South Sudan, thereby making it possible for the support mechanisms overseen by IGAD to discharge their respective mandates. He also mentioned the recent financial challenges that the Reconstituted Joint Monitoring and Evaluation Committee (RJMEC) is facing and called upon partners to continue their support to these important institutions."</t>
  </si>
  <si>
    <t>https://reliefweb.int/report/south-sudan/igad-and-ireland-sign-funding-agreement-support-peace-south-sudan</t>
  </si>
  <si>
    <t>The term 'other' refers to the funding pledges by IGAD and Ireland towards the Ceasefire and Transitional Security Arrangements Monitoring and Verification Mechanism ( CTSAMVM) in South Sudan.</t>
  </si>
  <si>
    <t>"ADDIS ABABA (19 October 2022) -- South Sudan’s conflict has become increasingly complex but the level of suffering for millions of civilians remains intolerable, said UN experts visiting Ethiopia for talks with the African Union on the peace process. Members of the United Nations Commission on Human Rights in South Sudan were in Addis Ababa to urge African countries and other stakeholders to renew their support for implementation of the peace agreement for South Sudan, whose people face one of the gravest humanitarian crises in the region that rarely makes headlines.
“Every new extension of the timelines for implementation of the peace agreement, and indeed every passing day of inaction, means not just time lost, but lives lost,” warned UN Commissioner Barney Afako during the visit. “Every month we see thousands of South Sudanese cross borders, stream into the UN-run protection site or move around the country trying to dodge an ever-shifting mosaic of violence that hardly registers regionally or internationally. Aid agencies struggle even to raise enough money to feed the victims because South Sudan has become invisible in the wake of other crises around the world,” he added.
From 12 to 18 October 2022, they held meetings with the Africa Union (AU) leadership, departments and Member States, the Inter-Governmental Authority on Development (IGAD), diplomatic corps and UN representatives, civil society and other actors."</t>
  </si>
  <si>
    <t>https://reliefweb.int/report/south-sudan/urgent-action-needed-peace-agreement-south-sudan</t>
  </si>
  <si>
    <t>"JUBA - It was a sunny day in South Sudan’s capital city, Juba, when United Nations Under-Secretary-General for Peace Operations, Jean-Pierre Lacroix, touched down for a four-day tour of the world’s youngest nation.
High on USG Lacroix’s agenda: Meeting key political interlocuters, the UN family, civil society, as well as the diplomatic and donor communities.
Mr. Lacroix’s visit comes in the wake of a recent agreement by all signatories on a roadmap to push forward outstanding benchmarks contained within the 2018 peace deal, as South Sudan still struggles to deliver the peace, recovery, and development it promised its citizens, after the devastation wrought by repeated civil wars."</t>
  </si>
  <si>
    <t>https://reliefweb.int/report/south-sudan/un-peace-chief-begins-four-day-visit-south-sudan-says-revitalized-agreement-key-political-framework-sustained-peace</t>
  </si>
  <si>
    <t>https://reliefweb.int/report/south-sudan/remarks-chef-de-cabinet-secretary-general-courtenay-rattray-and-jean-pierre-lacroix-usg-peace-operations-near-verbatim-9-november-2022</t>
  </si>
  <si>
    <t>The Sixth Governor's Forum "(As delivered)
President Salva Kiir Mayardit,
First Vice President of the Republic and all the Vice-Presidents
Rt. Honorable Speaker and Deputy Speakers,
State Governors and Administrators of Administrative Areas
Ministers and Deputy Ministers,
Members of Parliament and the Council of States,
Excellencies and distinguished guests,
I am deeply honored to address the commencement of the Sixth Governor’s Forum, which recognizes the urgency of implementing the 2022 Roadmap. This is an opportunity to reflect on South Sudan’s recommitment to the Revitalized Peace Agreement. I commend the leadership of South Sudan’s government and the parties for reaching a consensus on the way forward and the ratification of the Roadmap only last week by the Transitional National Legislature.
I am pleased to see the nation’s leaders - from the bomas, payams, counties and capitals - coming together under one roof under the leadership of the government of the country. And over the next week, you will take forward conversations generated at state-level to inform a common understanding of priorities and challenges at the national level. A key theme of your deliberations will be the pathways towards a stable and prosperous nation so that every woman, man and child can benefit both peace and the natural abundance of this country. This process carries with it the added strength of the states moving together with the center, reinforced by the participation of civil society, of partners and the international community. We look forward to the full inclusion of women’s voices in this important dialogue."</t>
  </si>
  <si>
    <t>https://reliefweb.int/report/south-sudan/sixth-governors-forum-statement-mr-nicholas-haysom-special-representative-secretary-general-and-head-unmiss</t>
  </si>
  <si>
    <t>At the 1123rd meeting of the African union Peace and Scurity council on 30th November 2022, the Special Represenative of the Secretary-General and Head of UNMISS, Mr. Nicholas Haysom, stated "I note with concern that deadlines related to the Political Parties Council, the Reconstituted National Constitutional Review Commission (RNCRC), and establishment of the Constitutional Drafting Committee (CDC) have been missed. We want to urge the South Sudanese that the two-year extension should not be regarded as a holiday break, and that delays are already having a domino impact on subsequent processes.
That is why, at the request of your Council, the United Nations, the AU Mission in South Sudan (AUMISS), the Intergovernmental Authority on Development (IGAD) and with the Reconstituted Joint Monitoring and Evaluation Commission (RJMEC) have formed a Trilateral Task force on Permanent Constitution-Making and Electoral Processes Support. We are developing a tracking mechanism to better target our advocacy and our support to the parties. I want to thank my brother, Ambassador Joram Biswaro, for his close support and collaboration.
We hope that the permanent constitution-making process can start without further delay. This is the foundation of a new social contract between the government and its citizens, and as between its citizens. I note that the Peace Agreement prescribes civic and voter education on both the constitution making and electoral processes and we look forward to an eventual roll-out of civic education, political engagement, and creation of an enabling environment for healthy national debates. UNMISS stands ready to support the government in this regard."</t>
  </si>
  <si>
    <t>https://reliefweb.int/report/south-sudan/statement-special-representative-secretary-general-and-head-unmiss-mr-nicholas-haysom-1123rd-meeting-african-union-peace-and-security-council-30-november-2022-delivered</t>
  </si>
  <si>
    <t>The term 'other' refers to the establishement of a Trilateral Task force Trilateral Task force on Permanent Constitution-Making and Electoral Processes Support.</t>
  </si>
  <si>
    <t>https://reliefweb.int/report/south-sudan/sixth-governors-forum-closing-session-statement-mr-nicholas-haysom-special-representative-secretary-general-and-head-unmiss-30-november-2022</t>
  </si>
  <si>
    <t>"The road map to a peaceful and democratic end to the transitional period of the Revitalized Agreement, adopted on 4 August, was endorsed on 1 September by the reconstituted Joint Monitoring and Evaluation Commission. The reconstituted Commission also endorsed the extension of the transitional period for two years, with 37 out of 42 members of the opposition and diplomatic and civil society voting in favour of the extension. The adoption of the road map was due primarily to delays in the implementation of the Agreement. The troika of Norway, the United Kingdom of Great Britain and Northern Ireland and the United States of America abstained, as did the European Union (a member of the reconstituted Commission), raising concerns over the lack of inclusivity in the consultations prior to the adoption. On 21 November, the reconstituted Transitional National Legislative Assembly passed an amendment to the Transitional Constitution of the Republic of South Sudan, 2011, extending the transitional period to last from February 2022 to February 2025 and incorporating the road map into the Transitional Constitution."</t>
  </si>
  <si>
    <t>https://reliefweb.int/report/south-sudan/situation-south-sudan-report-secretary-general-s2022918-enar</t>
  </si>
  <si>
    <t>"December 26, 2022 (DJIBOUTI, Djibouti) The Executive Secretary of the Intergovernmental Authority on Development (IGAD) Dr Workneh Gebeyehu is extremely concerned with the recent violence and fighting in the Upper Nile and Jonglei states of South Sudan that reportedly led to the displacement of an estimated 50,000 people and death and destruction and appeals for an immediate de-escalation and an end to violence saying it possess serious danger to peace, stability and humanitarian situation of South Sudan.
The Executive Secretary further called upon the South Sudanese leadership and the Interim-Government of President Salva Kiir and Vice-President Riek Machar and other signatory parties to the Revitalised – Agreement on the Resolution of the Conflict in South Sudan (R-ARCSS) to collectively voice their concern as a matter of urgency and appeal for calm and silence the guns and provide an immediate platform for dialogue to resolve any grievances that may have led to the violence.
Dr Workneh appealed to the IGAD Assembly of Heads of State and Government to use their leverage to ensure that no entity or individual undermines the peace and stability of South Sudan. In this regard, the Executive Secretary thanked President William Ruto of Kenya speaking with his South Sudanese counterpart to express his concerns and for offering the airlifting of food aid and medical supplies from Kenya to affected areas."</t>
  </si>
  <si>
    <t>https://reliefweb.int/report/south-sudan/south-sudan-igad-calls-de-escalation-tension-and-violence-upper-nile</t>
  </si>
  <si>
    <t>"WARRAP – Durable peace requires strong foundations and impactful interventions from the ground up.
That’s the philosophy behind a multisectoral project – called ‘Kong Koc,’ in a local dialect, which roughly translated means ‘to wait,’ a grassroots concept used to deescalate violent conflict—that has been launched by a consortium of partners including the United Nations Mission in South Sudan (UNMISS), the United Nations Development Programme (UNDP), the World Food Programme (WFP) 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will span two years and aims to lay the foundation for building peaceful, resilient and stable communities in the traditionally conflict-prone region of greater Tonj in Warrap state.
The main focus: To address conflict in Tonj in an intentional, sequenced, and community-led peacebuilding approach."</t>
  </si>
  <si>
    <t>https://reliefweb.int/report/south-sudan/peace-and-development-partners-launch-project-tonj-funded-south-sudan-multi-partner-trust-fund-reconciliation-stabilization-and-resilience</t>
  </si>
  <si>
    <t>"Abyei, 27 January 2023 – UNISFA welcomes the decisions reached during the ordinary session of the Joint Political and Security Mechanism (JPSM) meeting of 18 January 2023 and is encouraged by the parties’ “unwavering commitment to the full implementation of the Cooperation Agreements and the Agreement on Security Arrangements” signed by the Sudan and South Sudan in 2012.
The meeting, which was held in Juba, was co-chaired by the Sudanese Minister of Defence, Lieutenant General Yassin Ibrahim Yassin, and the South Sudan Minister of Defence and Veterans Affairs, Hon. Angelina Teny. Their delegations included Ministers and high-level representatives of security institutions. The collective vision of the parties was to operationalize the commitments made by H.E Salva Kiir Mayardit, President of the Republic of South Sudan and H.E Abdel Fattah Al Burhan, Chairman of the Transitional Sovereign Council of Sudan during their meeting in Juba on 12 January 2023, which focused on the strengthening of bilateral relations between the two countries.
The UNISFA delegation, led by the Deputy Force Commander Brig. Gen. Abu Syed Mohammod Bakir, highlighted the challenging security situation in Abyei and the Safe Demilitarized Border Zone (SDBZ) and the need for concerted efforts to enhance the protection of civilians. UNISFA also underscored several issues, including the need to reoperationalize the Joint Border Verification and Monitoring Mechanism (JBVMM) Sector 1 (Gok Machar), the deployment of national monitors at Abu Qussa, the redeployment of government forces from Abyei and the SDBZ and freedom of movement challenges. Other matters discussed included support for the commencement of intercommunal talks, including the seasonal peace conference, and the resumption of the Abyei Joint Oversight Committee meetings.
The parties welcomed the report presented by UNISFA and JBVMM and adopted its recommendations. They directed the Chief of Defence Forces of the Republic of South Sudan and the Chief of Staff of the Sudanese Armed Forces to inter alia form a committee to “monitor the implementation of the resolution of the JPSM regarding the redeployment of own forces outside of the SDBZ”."</t>
  </si>
  <si>
    <t>https://reliefweb.int/report/south-sudan/parties-agree-hasten-implementation-decisions-during-jpsm-meeting-juba</t>
  </si>
  <si>
    <t>The term 'other' refers to Norway's funding of the peace talks.</t>
  </si>
  <si>
    <t>The term 'other' refers to the USA alongside European powers sponsoring and funding talks held in Abuja to bring an end to the Darfur conflict.</t>
  </si>
  <si>
    <t>"Negotiations between the Sudanese government and the Sudan People’s Liberation Movement/Army (SPLM/A) took place for the first time on 31 July 1986, when John Garang and Prime Minister Sadiq al-Mahdi met for talks in which the two key demands of the SLPM/A were discussed: the suspension of the Sharia and the termination of military pacts with Libya and Egypt. However, on 16 August 1986, the peace talks were suspended due to the SPLM/A bombing a civil airplane, which resulted in the death of 60 passengers. Egypt – in spite of its military support to the Government of Sudan – managed to facilitate contacts between the Democratic Unionist Party (DUP) and SPLM/A in the mid-1988. The DUP was one of the three parties in Khartoum’s ruling coalition. Ethiopia subsequently offered to host talks in Addis Ababa between the DUP and the SPLM/A. This led to the signing of what has been referred to as the DUP-SPLM/A Sudan Peace Agreement on 16 November 1988 by DUP leader Mohamed Osman al-Mirghani and SPLM/A leader John Garang de Mabior. However, the agreement soon collapsed as a result of an internal power struggle within the Government of Sudan. The opposition in the coalition government, the National Islamic Front (NIF), did not accept the peace agreement, as it wished to maintain Islamic law and refused to abrogate military pacts with Egypt and Libya. The NIF denounced the talks as a conspiracy to block Islamic law. Prime Minister Sadiq al-Mahdi voted down a DUP amendment to recognise the terms of the DUP-SPLM/A Sudan Peace Agreement. Consequently, the DUP resigned from government on 27 December 1988. In March 1989, a new Government assumed power, which proposed a peace plan that was based on the peace deal that was reached between SPLM/A and DUP in November 1988, calling for a freeze on Islamic laws. The UN became involved in April 1989, trying to make both parties accept a ceasefire."</t>
  </si>
  <si>
    <t>DUP-SPLM/A Sudan Peace Agreement</t>
  </si>
  <si>
    <t>"At a meeting on 1 May 1989, the UN managed to convince the conflict parties observe a “month of tranquility” to allow aid to reach the area where people are threatened with famine. This ceasefire was later extended for another two weeks. The Government of Sudan subsequently accepted the DUP-SPLM/A Sudan Peace Agreement, after which it was also ratified by the parliament."</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</si>
  <si>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(OAU)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</si>
  <si>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"Following the collapse of the Carter initiative, Kenyan President Daniel arap Moi invited Bashir and Garang to his Presidential retreat in Nakuru for peace talks. Both Bashir and Garang accepted the invitation and the meeting was set for 27 February 1990. However, at the last minute Garang decided not to go, so only Bashir showed up.  Similarly, Zaire and Egypt mediated in 1990, but could not bring the conflict parties to the negotiation table. The Government of Sudan took the initiative in March 1990 to request the US to mediate. The US subsequently initiated a mediation effort. In order to move the conflict parties towards a peace settlement, US Assistant Secretary of State for African Affairs Herman Cohen began to shuttle between the conflict parties in March 1990. Cohen formulated a proposal that stipulated the conclusion of a ceasefire, withdrawal of troops, followed by a constitutional conference that would decide on a federal system. With regard to the withdrawal of troops, Cohen proposed the complete evacuation of the national army to positions north of the 11th parallel, while the SPLM/A had to guarantee that it would not take control of southern Sudan militarily if the government forces would withdraw. With neither conflict party agreeing to this proposal, Cohen subsequently formulated a new proposal, which stipulated that half of the government forces would be pulled out from southern Sudan, while the SPLM/A would in exchange withdraw all its troops 15 kilometres from the besieged towns. Moreover, the withdrawal of troops would be internationally monitored. Cohen also proposed to hold a constitutional conference . Cohen personally presented the adapted proposal to President al-Bashir in Khartoum on 9 March 1990. While al-Bashir promised Cohen to study the proposal carefully, he soon conveyed that he rejected the possibility of a constitutional conference, preferring bilateral talks with John Garrang. The Government of Sudan also refused to withdraw from some garrison towns in areas controlled by the rebels including some oil fields.  This terminated his round of shuttle talks in March 1990. In May, Cohen again tried to imitate a peace conference, but the government side officially rejected this option on 4 June 1990."</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</si>
  <si>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</si>
  <si>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"The first phase of what came to be known as the Abuja peace talks started on 26 May 1992 and ended on 4 June 1992 without any progress made. The talks were hosted by the Nigerian president Ibrahim Babangida in his capacity as chair of the Organization of African Unity. Talks focus particularly on issues related to national identity, religion and state, self-determination, and interim security arrangements. The Nigerian mediators suggested to the conflict parties that an effective ceasefire would require a neutral observer team that would ensure all the parties complied with the peace agreement. Although the SPLM/A agreed, the Government of Sudan insisted that such a team would constitute “foreign intervention in the affairs of Sudan.” The first phase of the Abuja negotiations ended with the adoption of the Communique of the Abuja Sudanese Peace Conference."</t>
  </si>
  <si>
    <t>"Nigeria hosted the Abuja II talks, which broke down due to Khartoum’s overly inflexible stance."</t>
  </si>
  <si>
    <t>"The Sudanese peace talks in Abuja broke down and IGAD was invited to mediate. IGAD established a Standing Committee on Peace to facilitate neogitations and proposed a Declaration of Principles, which included partition as possible resolution to the conflict, which was accepted (though reluctantly) by the SPLM and rejected by the Khartoum government in 1994."</t>
  </si>
  <si>
    <t>"IGAD hosted and sponsored several rounds of peace talks throughout 1994. Kenyan president Daniel arap Moi hosted the talks as chairman of IGAD. Preliminary shuttle peace talks were held in Nairobi in the beginning of January in order to determine the issues that would be put on the agenda for the formal talks."</t>
  </si>
  <si>
    <t>The term 'other' refers to the UAE's sponsorship and funding of the initiative.</t>
  </si>
  <si>
    <t>The term 'other' refers to the actor's support and funding of the local initiative.</t>
  </si>
  <si>
    <t>Relative Actor Type</t>
  </si>
  <si>
    <t>Norwegian Church Aid</t>
  </si>
  <si>
    <t>"A mediation team of three nationally respected church officials from Equatoria – namely Catholic bishop Paride Taban, along with Bishop Paul Benjamin Yugusuk of the Episcopal Church and Bishop Arkanjelo Wani Lemi of the African Inland Church – was initiated at a meeting in Addis Ababa in August 2013. This mediation effort, dubbed the Church Leaders’ Mediation Initiative (CLMI), was supported by the Dutch NGO PAX and also received logistical support from Norwegian Church Aid and UNMISS. During the meeting in Addis Ababa in August 2013, the bishops agreed with representatives of the SSDM/A-Cobra Faction to enter into negotiations with the government. With President Kiir’s blessing, the bishops and the Presbyterian Murle pastor Orozu Lokine subsequently met with Yau Yau in Kongor in September 2013. The onset of the civil war between the South Sudanese government and the Sudan People’s Liberation Army/Movement-In Opposition (SPLM/A-IO) strengthened the government’s commitment to a deal with Yau Yau as the government needed soldiers to fight the SPLM/A-IO, pushing the government to make concessions in favor of Yau Yau at the expense of key government actors in Jonglei state."</t>
  </si>
  <si>
    <t>"August 15, 2020 (JUBA) - The Sudanese government and the armed movements in Darfur agreed to unify negotiations on security arrangements.
Dhieu Matouk, the rapporteur of the South Sudanese Mediation, told reporters following a session held on Friday that the two parties agreed to unify the negotiating positions on the security arrangements.
He pointed out that the deliberations on this matter during the last period resulted in three different position papers by the government, the Sudanese Revolutionary Front (SRF) and the Sudan Liberation Movement of Minni Minnawi (SLM-MM)."</t>
  </si>
  <si>
    <t>Global_multilateral</t>
  </si>
  <si>
    <t>Regional_multilateral</t>
  </si>
  <si>
    <t>Multileral</t>
  </si>
  <si>
    <t>Unilateral</t>
  </si>
  <si>
    <t>Mediator</t>
  </si>
  <si>
    <t xml:space="preserve">Total number of initiatives </t>
  </si>
  <si>
    <t>Mediation Frequency</t>
  </si>
  <si>
    <t>Participation Percentage</t>
  </si>
  <si>
    <t>Initiative Type</t>
  </si>
  <si>
    <t>Percentage of Mediation Initiatives</t>
  </si>
  <si>
    <t>Number of Initiative Type</t>
  </si>
  <si>
    <t>Total number of Values</t>
  </si>
  <si>
    <t>Total percentage of non-liberal mediation</t>
  </si>
  <si>
    <t>exclude according to freedom index</t>
  </si>
  <si>
    <t>percentage of initiatives led</t>
  </si>
  <si>
    <t>Total</t>
  </si>
  <si>
    <t>leading actor 2</t>
  </si>
  <si>
    <t>leading actor 3</t>
  </si>
  <si>
    <t>Toika</t>
  </si>
  <si>
    <t>number rof initiatives led L</t>
  </si>
  <si>
    <t>number rof initiatives led M</t>
  </si>
  <si>
    <t>number rof initiatives led N</t>
  </si>
  <si>
    <t>Total initiatives led</t>
  </si>
  <si>
    <t>Percentage of Mediation Efforts Led</t>
  </si>
  <si>
    <t>Non-Liberal Participation in Mediation</t>
  </si>
  <si>
    <t>Liberal Mediation Participation</t>
  </si>
  <si>
    <t xml:space="preserve"> Non-State Mediation Participation</t>
  </si>
  <si>
    <t>Neighbour Mediation Participation</t>
  </si>
  <si>
    <t>Mediation Participation</t>
  </si>
  <si>
    <t>Frequency of Mediation Type</t>
  </si>
  <si>
    <t>Actor</t>
  </si>
  <si>
    <t>Frequency of Activity Type per Mediator</t>
  </si>
  <si>
    <t>Frequency of Participation in Initiative Type</t>
  </si>
  <si>
    <t>% of Activity</t>
  </si>
  <si>
    <t>Total Number</t>
  </si>
  <si>
    <t>Percentage of Activity Type: Russia</t>
  </si>
  <si>
    <t>leading actor</t>
  </si>
  <si>
    <t>Column1</t>
  </si>
  <si>
    <t>Column2</t>
  </si>
  <si>
    <t>Column3</t>
  </si>
  <si>
    <t>Column4</t>
  </si>
  <si>
    <t>Column5</t>
  </si>
  <si>
    <t>Column6</t>
  </si>
  <si>
    <t>Column7</t>
  </si>
  <si>
    <t>Column8</t>
  </si>
  <si>
    <t>Column9</t>
  </si>
  <si>
    <t>Prevalence of Activity Types - China</t>
  </si>
  <si>
    <t>Prevalence of Uni/Multilateral Initiatives - China</t>
  </si>
  <si>
    <t>Participation across years - China</t>
  </si>
  <si>
    <t>Prevalence of Activity Types - Russia</t>
  </si>
  <si>
    <t>Participation across years - Russia</t>
  </si>
  <si>
    <t>Multilateral</t>
  </si>
  <si>
    <t>Prevalence of Uni/Multilateral Initiatives - Russia</t>
  </si>
  <si>
    <t>Multilateral_China</t>
  </si>
  <si>
    <t>Unilateral_China</t>
  </si>
  <si>
    <t>Participation across years - Qatar</t>
  </si>
  <si>
    <t>Unilateral_Qatar</t>
  </si>
  <si>
    <t>Multilateral_Qatar</t>
  </si>
  <si>
    <t>Total number</t>
  </si>
  <si>
    <t>% of Qatar's Activity Type</t>
  </si>
  <si>
    <t>Prevalence of Activity Types - Qatar</t>
  </si>
  <si>
    <t xml:space="preserve">Prevalence of Unilateral and Multilateral Initiatives </t>
  </si>
  <si>
    <t>Actor Type Label</t>
  </si>
  <si>
    <t>State</t>
  </si>
  <si>
    <t>Regional</t>
  </si>
  <si>
    <t>Global</t>
  </si>
  <si>
    <t>Negotiation Type</t>
  </si>
  <si>
    <t>Negotiation Type Label</t>
  </si>
  <si>
    <t>Negotiation Type Label (Full)</t>
  </si>
  <si>
    <t>Multilateral Regional Initiative or a Unilateral Regional Organisation's Initiative</t>
  </si>
  <si>
    <t>Non-state</t>
  </si>
  <si>
    <t>Multilateral Global Initiative or a Unilateral IGO Initiative</t>
  </si>
  <si>
    <t xml:space="preserve">Unilateral Non-State Actor Initiative </t>
  </si>
  <si>
    <t xml:space="preserve">Unilateral state-led Initiative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</si>
</sst>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u/>
      <sz val="12"/>
      <color theme="10"/>
      <name val="Calibri"/>
      <family val="2"/>
      <scheme val="minor"/>
    </font>
    <font>
      <sz val="12"/>
      <color theme="1"/>
      <name val="Calibri"/>
      <family val="2"/>
    </font>
    <font>
      <sz val="12"/>
      <name val="Calibri (Body)"/>
    </font>
    <font>
      <sz val="12"/>
      <color theme="1"/>
      <name val="Calibri (Body)"/>
    </font>
    <font>
      <b/>
      <sz val="12"/>
      <name val="Calibri"/>
      <family val="2"/>
      <scheme val="minor"/>
    </font>
    <font>
      <b/>
      <i/>
      <sz val="12"/>
      <color theme="1"/>
      <name val="Calibri"/>
      <family val="2"/>
      <scheme val="minor"/>
    </font>
    <font>
      <b/>
      <i/>
      <sz val="12"/>
      <name val="Calibri"/>
      <family val="2"/>
      <scheme val="minor"/>
    </font>
    <font>
      <sz val="12"/>
      <color theme="0"/>
      <name val="Calibri"/>
      <family val="2"/>
      <scheme val="minor"/>
    </font>
    <font>
      <sz val="24"/>
      <color theme="1"/>
      <name val="Calibri (Body)"/>
    </font>
  </fonts>
  <fills count="13">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8"/>
      </patternFill>
    </fill>
    <fill>
      <patternFill patternType="solid">
        <fgColor theme="8" tint="0.7999816888943144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11" fillId="11" borderId="0" applyNumberFormat="0" applyBorder="0" applyAlignment="0" applyProtection="0"/>
  </cellStyleXfs>
  <cellXfs count="65">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0" borderId="0" xfId="0" applyFont="1"/>
    <xf numFmtId="0" fontId="3" fillId="0" borderId="0" xfId="0" applyFont="1" applyAlignment="1">
      <alignment vertical="center"/>
    </xf>
    <xf numFmtId="0" fontId="3" fillId="0" borderId="0" xfId="0" applyFont="1" applyAlignment="1">
      <alignment horizontal="left"/>
    </xf>
    <xf numFmtId="0" fontId="0" fillId="0" borderId="0" xfId="0" applyAlignment="1">
      <alignment vertical="top"/>
    </xf>
    <xf numFmtId="0" fontId="3" fillId="0" borderId="0" xfId="0" applyFont="1"/>
    <xf numFmtId="0" fontId="2" fillId="0" borderId="0" xfId="0" applyFont="1"/>
    <xf numFmtId="0" fontId="4" fillId="0" borderId="0" xfId="1" applyAlignment="1">
      <alignment vertical="top"/>
    </xf>
    <xf numFmtId="0" fontId="5" fillId="0" borderId="0" xfId="0" applyFont="1" applyAlignment="1">
      <alignment vertical="top"/>
    </xf>
    <xf numFmtId="0" fontId="2" fillId="0" borderId="0" xfId="0" applyFont="1" applyAlignment="1">
      <alignment vertical="top"/>
    </xf>
    <xf numFmtId="0" fontId="6" fillId="0" borderId="0" xfId="1" applyFont="1" applyAlignment="1">
      <alignment vertical="top"/>
    </xf>
    <xf numFmtId="0" fontId="0" fillId="8" borderId="0" xfId="0" applyFill="1"/>
    <xf numFmtId="0" fontId="4" fillId="0" borderId="0" xfId="1" applyFill="1"/>
    <xf numFmtId="0" fontId="0" fillId="0" borderId="0" xfId="0" applyAlignment="1">
      <alignment wrapText="1"/>
    </xf>
    <xf numFmtId="0" fontId="4" fillId="0" borderId="0" xfId="1"/>
    <xf numFmtId="0" fontId="4" fillId="0" borderId="0" xfId="1" applyAlignment="1"/>
    <xf numFmtId="0" fontId="7" fillId="0" borderId="0" xfId="0" applyFont="1"/>
    <xf numFmtId="0" fontId="3" fillId="0" borderId="0" xfId="0" quotePrefix="1" applyFont="1" applyAlignment="1">
      <alignment vertical="center"/>
    </xf>
    <xf numFmtId="0" fontId="8" fillId="0" borderId="0" xfId="0" applyFont="1" applyAlignment="1">
      <alignment vertical="center"/>
    </xf>
    <xf numFmtId="0" fontId="3" fillId="9" borderId="0" xfId="0" applyFont="1" applyFill="1" applyAlignment="1">
      <alignment vertical="center"/>
    </xf>
    <xf numFmtId="0" fontId="0" fillId="9" borderId="0" xfId="0" applyFill="1"/>
    <xf numFmtId="0" fontId="9" fillId="5" borderId="0" xfId="0" applyFont="1" applyFill="1"/>
    <xf numFmtId="0" fontId="0" fillId="5" borderId="0" xfId="0" applyFill="1"/>
    <xf numFmtId="0" fontId="3" fillId="5" borderId="0" xfId="0" applyFont="1" applyFill="1" applyAlignment="1">
      <alignment vertical="center"/>
    </xf>
    <xf numFmtId="0" fontId="8" fillId="5" borderId="0" xfId="0" applyFont="1" applyFill="1" applyAlignment="1">
      <alignment vertical="center"/>
    </xf>
    <xf numFmtId="0" fontId="0" fillId="10" borderId="0" xfId="0" applyFill="1"/>
    <xf numFmtId="0" fontId="9" fillId="10" borderId="0" xfId="0" applyFont="1" applyFill="1"/>
    <xf numFmtId="0" fontId="1" fillId="10" borderId="0" xfId="0" applyFont="1" applyFill="1"/>
    <xf numFmtId="0" fontId="3" fillId="10" borderId="0" xfId="0" applyFont="1" applyFill="1" applyAlignment="1">
      <alignment vertical="center"/>
    </xf>
    <xf numFmtId="0" fontId="8" fillId="10" borderId="0" xfId="0" applyFont="1" applyFill="1" applyAlignment="1">
      <alignment vertical="center"/>
    </xf>
    <xf numFmtId="0" fontId="9" fillId="3" borderId="0" xfId="0" applyFont="1" applyFill="1"/>
    <xf numFmtId="0" fontId="0" fillId="3" borderId="0" xfId="0" applyFill="1"/>
    <xf numFmtId="0" fontId="3" fillId="3" borderId="0" xfId="0" applyFont="1" applyFill="1" applyAlignment="1">
      <alignment vertical="center"/>
    </xf>
    <xf numFmtId="0" fontId="8" fillId="3" borderId="0" xfId="0" applyFont="1" applyFill="1" applyAlignment="1">
      <alignment vertical="center"/>
    </xf>
    <xf numFmtId="0" fontId="9" fillId="6" borderId="0" xfId="0" applyFont="1" applyFill="1"/>
    <xf numFmtId="0" fontId="0" fillId="6" borderId="0" xfId="0" applyFill="1"/>
    <xf numFmtId="0" fontId="3" fillId="6" borderId="0" xfId="0" applyFont="1" applyFill="1" applyAlignment="1">
      <alignment vertical="center"/>
    </xf>
    <xf numFmtId="0" fontId="8" fillId="6" borderId="0" xfId="0" applyFont="1" applyFill="1" applyAlignment="1">
      <alignment vertical="center"/>
    </xf>
    <xf numFmtId="0" fontId="9" fillId="7" borderId="0" xfId="0" applyFont="1" applyFill="1"/>
    <xf numFmtId="0" fontId="0" fillId="7" borderId="0" xfId="0" applyFill="1"/>
    <xf numFmtId="0" fontId="3" fillId="7" borderId="0" xfId="0" applyFont="1" applyFill="1" applyAlignment="1">
      <alignment vertical="center"/>
    </xf>
    <xf numFmtId="0" fontId="8" fillId="7" borderId="0" xfId="0" applyFont="1" applyFill="1" applyAlignment="1">
      <alignment vertical="center"/>
    </xf>
    <xf numFmtId="0" fontId="10" fillId="2" borderId="0" xfId="0" applyFont="1" applyFill="1" applyAlignment="1">
      <alignment vertical="center"/>
    </xf>
    <xf numFmtId="0" fontId="0" fillId="2" borderId="0" xfId="0" applyFill="1"/>
    <xf numFmtId="0" fontId="3" fillId="2" borderId="0" xfId="0" applyFont="1" applyFill="1" applyAlignment="1">
      <alignment vertical="center"/>
    </xf>
    <xf numFmtId="0" fontId="8" fillId="2" borderId="0" xfId="0" applyFont="1" applyFill="1" applyAlignment="1">
      <alignment vertical="center"/>
    </xf>
    <xf numFmtId="0" fontId="10" fillId="4" borderId="0" xfId="0" applyFont="1" applyFill="1" applyAlignment="1">
      <alignment vertical="center"/>
    </xf>
    <xf numFmtId="0" fontId="0" fillId="4" borderId="0" xfId="0" applyFill="1"/>
    <xf numFmtId="0" fontId="9" fillId="4" borderId="0" xfId="0" applyFont="1" applyFill="1"/>
    <xf numFmtId="0" fontId="3" fillId="4" borderId="0" xfId="0" applyFont="1" applyFill="1" applyAlignment="1">
      <alignment vertical="center"/>
    </xf>
    <xf numFmtId="0" fontId="11" fillId="11" borderId="0" xfId="2"/>
    <xf numFmtId="0" fontId="11" fillId="11" borderId="0" xfId="2" applyAlignment="1">
      <alignment vertical="center"/>
    </xf>
    <xf numFmtId="0" fontId="12" fillId="0" borderId="0" xfId="0" applyFont="1"/>
    <xf numFmtId="0" fontId="9" fillId="12" borderId="0" xfId="0" applyFont="1" applyFill="1"/>
    <xf numFmtId="0" fontId="0" fillId="12" borderId="0" xfId="0" applyFill="1"/>
    <xf numFmtId="0" fontId="1" fillId="12" borderId="0" xfId="0" applyFont="1" applyFill="1"/>
    <xf numFmtId="0" fontId="3" fillId="12" borderId="0" xfId="0" applyFont="1" applyFill="1" applyAlignment="1">
      <alignment vertical="center"/>
    </xf>
    <xf numFmtId="0" fontId="2" fillId="6" borderId="0" xfId="0" applyFont="1" applyFill="1"/>
    <xf numFmtId="0" fontId="2" fillId="4" borderId="0" xfId="0" applyFont="1" applyFill="1"/>
  </cellXfs>
  <cellStyles count="3">
    <cellStyle name="Accent5" xfId="2" builtinId="45"/>
    <cellStyle name="Hyperlink" xfId="1" builtinId="8"/>
    <cellStyle name="Normal" xfId="0" builtinId="0"/>
  </cellStyles>
  <dxfs count="8">
    <dxf>
      <font>
        <b val="0"/>
        <i val="0"/>
        <strike val="0"/>
        <condense val="0"/>
        <extend val="0"/>
        <outline val="0"/>
        <shadow val="0"/>
        <u val="none"/>
        <vertAlign val="baseline"/>
        <sz val="12"/>
        <color rgb="FF000000"/>
        <name val="Calibri"/>
        <scheme val="minor"/>
      </font>
    </dxf>
    <dxf>
      <font>
        <b val="0"/>
        <i val="0"/>
        <strike val="0"/>
        <condense val="0"/>
        <extend val="0"/>
        <outline val="0"/>
        <shadow val="0"/>
        <u val="none"/>
        <vertAlign val="baseline"/>
        <sz val="12"/>
        <color rgb="FF000000"/>
        <name val="Calibri"/>
        <scheme val="minor"/>
      </font>
    </dxf>
    <dxf>
      <font>
        <b val="0"/>
        <i val="0"/>
        <strike val="0"/>
        <condense val="0"/>
        <extend val="0"/>
        <outline val="0"/>
        <shadow val="0"/>
        <u val="none"/>
        <vertAlign val="baseline"/>
        <sz val="12"/>
        <color rgb="FF000000"/>
        <name val="Calibri"/>
        <scheme val="minor"/>
      </font>
    </dxf>
    <dxf>
      <font>
        <b val="0"/>
        <i val="0"/>
        <strike val="0"/>
        <condense val="0"/>
        <extend val="0"/>
        <outline val="0"/>
        <shadow val="0"/>
        <u val="none"/>
        <vertAlign val="baseline"/>
        <sz val="12"/>
        <color auto="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Actor Mediation Frequency by Year (Conflicts in Sudan &amp; South Sudan)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Analysis&amp;Graphs'!$A$2</c:f>
              <c:strCache>
                <c:ptCount val="1"/>
                <c:pt idx="0">
                  <c:v>Russia</c:v>
                </c:pt>
              </c:strCache>
            </c:strRef>
          </c:tx>
          <c:spPr>
            <a:ln w="28575" cap="rnd">
              <a:solidFill>
                <a:schemeClr val="accent1"/>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Analysis&amp;Graphs'!$B$2:$AK$2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2</c:v>
                </c:pt>
                <c:pt idx="33">
                  <c:v>1</c:v>
                </c:pt>
                <c:pt idx="34">
                  <c:v>0</c:v>
                </c:pt>
                <c:pt idx="35">
                  <c:v>0</c:v>
                </c:pt>
              </c:numCache>
            </c:numRef>
          </c:val>
          <c:smooth val="0"/>
          <c:extLst>
            <c:ext xmlns:c16="http://schemas.microsoft.com/office/drawing/2014/chart" uri="{C3380CC4-5D6E-409C-BE32-E72D297353CC}">
              <c16:uniqueId val="{00000000-D701-A24D-A546-578AD57681FC}"/>
            </c:ext>
          </c:extLst>
        </c:ser>
        <c:ser>
          <c:idx val="1"/>
          <c:order val="1"/>
          <c:tx>
            <c:strRef>
              <c:f>'Specific Analysis&amp;Graphs'!$A$3</c:f>
              <c:strCache>
                <c:ptCount val="1"/>
                <c:pt idx="0">
                  <c:v>China</c:v>
                </c:pt>
              </c:strCache>
            </c:strRef>
          </c:tx>
          <c:spPr>
            <a:ln w="28575" cap="rnd">
              <a:solidFill>
                <a:schemeClr val="accent2"/>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Analysis&amp;Graphs'!$B$3:$AK$3</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3</c:v>
                </c:pt>
                <c:pt idx="33">
                  <c:v>1</c:v>
                </c:pt>
                <c:pt idx="34">
                  <c:v>1</c:v>
                </c:pt>
                <c:pt idx="35">
                  <c:v>0</c:v>
                </c:pt>
              </c:numCache>
            </c:numRef>
          </c:val>
          <c:smooth val="0"/>
          <c:extLst>
            <c:ext xmlns:c16="http://schemas.microsoft.com/office/drawing/2014/chart" uri="{C3380CC4-5D6E-409C-BE32-E72D297353CC}">
              <c16:uniqueId val="{00000001-D701-A24D-A546-578AD57681FC}"/>
            </c:ext>
          </c:extLst>
        </c:ser>
        <c:ser>
          <c:idx val="2"/>
          <c:order val="2"/>
          <c:tx>
            <c:strRef>
              <c:f>'Specific Analysis&amp;Graphs'!$A$4</c:f>
              <c:strCache>
                <c:ptCount val="1"/>
                <c:pt idx="0">
                  <c:v>Qatar</c:v>
                </c:pt>
              </c:strCache>
            </c:strRef>
          </c:tx>
          <c:spPr>
            <a:ln w="28575" cap="rnd">
              <a:solidFill>
                <a:schemeClr val="accent3"/>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Analysis&amp;Graphs'!$B$4:$AK$4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2</c:v>
                </c:pt>
                <c:pt idx="23">
                  <c:v>1</c:v>
                </c:pt>
                <c:pt idx="24">
                  <c:v>1</c:v>
                </c:pt>
                <c:pt idx="25">
                  <c:v>1</c:v>
                </c:pt>
                <c:pt idx="26">
                  <c:v>0</c:v>
                </c:pt>
                <c:pt idx="27">
                  <c:v>0</c:v>
                </c:pt>
                <c:pt idx="28">
                  <c:v>1</c:v>
                </c:pt>
                <c:pt idx="29">
                  <c:v>0</c:v>
                </c:pt>
                <c:pt idx="30">
                  <c:v>1</c:v>
                </c:pt>
                <c:pt idx="31">
                  <c:v>0</c:v>
                </c:pt>
                <c:pt idx="32">
                  <c:v>5</c:v>
                </c:pt>
                <c:pt idx="33">
                  <c:v>1</c:v>
                </c:pt>
                <c:pt idx="34">
                  <c:v>0</c:v>
                </c:pt>
                <c:pt idx="35">
                  <c:v>0</c:v>
                </c:pt>
              </c:numCache>
            </c:numRef>
          </c:val>
          <c:smooth val="0"/>
          <c:extLst>
            <c:ext xmlns:c16="http://schemas.microsoft.com/office/drawing/2014/chart" uri="{C3380CC4-5D6E-409C-BE32-E72D297353CC}">
              <c16:uniqueId val="{00000002-D701-A24D-A546-578AD57681FC}"/>
            </c:ext>
          </c:extLst>
        </c:ser>
        <c:ser>
          <c:idx val="3"/>
          <c:order val="3"/>
          <c:tx>
            <c:strRef>
              <c:f>'Specific Analysis&amp;Graphs'!$A$5</c:f>
              <c:strCache>
                <c:ptCount val="1"/>
                <c:pt idx="0">
                  <c:v>IGAD</c:v>
                </c:pt>
              </c:strCache>
            </c:strRef>
          </c:tx>
          <c:spPr>
            <a:ln w="28575" cap="rnd">
              <a:solidFill>
                <a:schemeClr val="accent4"/>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Analysis&amp;Graphs'!$B$5:$AK$5</c:f>
              <c:numCache>
                <c:formatCode>General</c:formatCode>
                <c:ptCount val="36"/>
                <c:pt idx="0">
                  <c:v>0</c:v>
                </c:pt>
                <c:pt idx="1">
                  <c:v>0</c:v>
                </c:pt>
                <c:pt idx="2">
                  <c:v>0</c:v>
                </c:pt>
                <c:pt idx="3">
                  <c:v>0</c:v>
                </c:pt>
                <c:pt idx="4">
                  <c:v>0</c:v>
                </c:pt>
                <c:pt idx="5">
                  <c:v>2</c:v>
                </c:pt>
                <c:pt idx="6">
                  <c:v>6</c:v>
                </c:pt>
                <c:pt idx="7">
                  <c:v>0</c:v>
                </c:pt>
                <c:pt idx="8">
                  <c:v>0</c:v>
                </c:pt>
                <c:pt idx="9">
                  <c:v>2</c:v>
                </c:pt>
                <c:pt idx="10">
                  <c:v>2</c:v>
                </c:pt>
                <c:pt idx="11">
                  <c:v>1</c:v>
                </c:pt>
                <c:pt idx="12">
                  <c:v>2</c:v>
                </c:pt>
                <c:pt idx="13">
                  <c:v>0</c:v>
                </c:pt>
                <c:pt idx="14">
                  <c:v>6</c:v>
                </c:pt>
                <c:pt idx="15">
                  <c:v>12</c:v>
                </c:pt>
                <c:pt idx="16">
                  <c:v>5</c:v>
                </c:pt>
                <c:pt idx="17">
                  <c:v>1</c:v>
                </c:pt>
                <c:pt idx="18">
                  <c:v>0</c:v>
                </c:pt>
                <c:pt idx="19">
                  <c:v>0</c:v>
                </c:pt>
                <c:pt idx="20">
                  <c:v>0</c:v>
                </c:pt>
                <c:pt idx="21">
                  <c:v>0</c:v>
                </c:pt>
                <c:pt idx="22">
                  <c:v>0</c:v>
                </c:pt>
                <c:pt idx="23">
                  <c:v>0</c:v>
                </c:pt>
                <c:pt idx="24">
                  <c:v>1</c:v>
                </c:pt>
                <c:pt idx="25">
                  <c:v>2</c:v>
                </c:pt>
                <c:pt idx="26">
                  <c:v>1</c:v>
                </c:pt>
                <c:pt idx="27">
                  <c:v>9</c:v>
                </c:pt>
                <c:pt idx="28">
                  <c:v>0</c:v>
                </c:pt>
                <c:pt idx="29">
                  <c:v>2</c:v>
                </c:pt>
                <c:pt idx="30">
                  <c:v>9</c:v>
                </c:pt>
                <c:pt idx="31">
                  <c:v>2</c:v>
                </c:pt>
                <c:pt idx="32">
                  <c:v>10</c:v>
                </c:pt>
                <c:pt idx="33">
                  <c:v>13</c:v>
                </c:pt>
                <c:pt idx="34">
                  <c:v>11</c:v>
                </c:pt>
                <c:pt idx="35">
                  <c:v>1</c:v>
                </c:pt>
              </c:numCache>
            </c:numRef>
          </c:val>
          <c:smooth val="0"/>
          <c:extLst>
            <c:ext xmlns:c16="http://schemas.microsoft.com/office/drawing/2014/chart" uri="{C3380CC4-5D6E-409C-BE32-E72D297353CC}">
              <c16:uniqueId val="{00000003-D701-A24D-A546-578AD57681FC}"/>
            </c:ext>
          </c:extLst>
        </c:ser>
        <c:ser>
          <c:idx val="4"/>
          <c:order val="4"/>
          <c:tx>
            <c:strRef>
              <c:f>'Specific Analysis&amp;Graphs'!$A$6</c:f>
              <c:strCache>
                <c:ptCount val="1"/>
                <c:pt idx="0">
                  <c:v>AU</c:v>
                </c:pt>
              </c:strCache>
            </c:strRef>
          </c:tx>
          <c:spPr>
            <a:ln w="28575" cap="rnd">
              <a:solidFill>
                <a:schemeClr val="accent5"/>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Analysis&amp;Graphs'!$B$6:$AK$6</c:f>
              <c:numCache>
                <c:formatCode>General</c:formatCode>
                <c:ptCount val="36"/>
                <c:pt idx="0">
                  <c:v>0</c:v>
                </c:pt>
                <c:pt idx="1">
                  <c:v>0</c:v>
                </c:pt>
                <c:pt idx="2">
                  <c:v>0</c:v>
                </c:pt>
                <c:pt idx="3">
                  <c:v>1</c:v>
                </c:pt>
                <c:pt idx="4">
                  <c:v>1</c:v>
                </c:pt>
                <c:pt idx="5">
                  <c:v>0</c:v>
                </c:pt>
                <c:pt idx="6">
                  <c:v>0</c:v>
                </c:pt>
                <c:pt idx="7">
                  <c:v>0</c:v>
                </c:pt>
                <c:pt idx="8">
                  <c:v>0</c:v>
                </c:pt>
                <c:pt idx="9">
                  <c:v>0</c:v>
                </c:pt>
                <c:pt idx="10">
                  <c:v>0</c:v>
                </c:pt>
                <c:pt idx="11">
                  <c:v>0</c:v>
                </c:pt>
                <c:pt idx="12">
                  <c:v>0</c:v>
                </c:pt>
                <c:pt idx="13">
                  <c:v>0</c:v>
                </c:pt>
                <c:pt idx="14">
                  <c:v>0</c:v>
                </c:pt>
                <c:pt idx="15">
                  <c:v>0</c:v>
                </c:pt>
                <c:pt idx="16">
                  <c:v>8</c:v>
                </c:pt>
                <c:pt idx="17">
                  <c:v>5</c:v>
                </c:pt>
                <c:pt idx="18">
                  <c:v>1</c:v>
                </c:pt>
                <c:pt idx="19">
                  <c:v>0</c:v>
                </c:pt>
                <c:pt idx="20">
                  <c:v>0</c:v>
                </c:pt>
                <c:pt idx="21">
                  <c:v>1</c:v>
                </c:pt>
                <c:pt idx="22">
                  <c:v>3</c:v>
                </c:pt>
                <c:pt idx="23">
                  <c:v>11</c:v>
                </c:pt>
                <c:pt idx="24">
                  <c:v>13</c:v>
                </c:pt>
                <c:pt idx="25">
                  <c:v>11</c:v>
                </c:pt>
                <c:pt idx="26">
                  <c:v>6</c:v>
                </c:pt>
                <c:pt idx="27">
                  <c:v>5</c:v>
                </c:pt>
                <c:pt idx="28">
                  <c:v>6</c:v>
                </c:pt>
                <c:pt idx="29">
                  <c:v>2</c:v>
                </c:pt>
                <c:pt idx="30">
                  <c:v>5</c:v>
                </c:pt>
                <c:pt idx="31">
                  <c:v>0</c:v>
                </c:pt>
                <c:pt idx="32">
                  <c:v>9</c:v>
                </c:pt>
                <c:pt idx="33">
                  <c:v>7</c:v>
                </c:pt>
                <c:pt idx="34">
                  <c:v>11</c:v>
                </c:pt>
                <c:pt idx="35">
                  <c:v>0</c:v>
                </c:pt>
              </c:numCache>
            </c:numRef>
          </c:val>
          <c:smooth val="0"/>
          <c:extLst>
            <c:ext xmlns:c16="http://schemas.microsoft.com/office/drawing/2014/chart" uri="{C3380CC4-5D6E-409C-BE32-E72D297353CC}">
              <c16:uniqueId val="{00000004-D701-A24D-A546-578AD57681FC}"/>
            </c:ext>
          </c:extLst>
        </c:ser>
        <c:ser>
          <c:idx val="5"/>
          <c:order val="5"/>
          <c:tx>
            <c:strRef>
              <c:f>'Specific Analysis&amp;Graphs'!$A$7</c:f>
              <c:strCache>
                <c:ptCount val="1"/>
                <c:pt idx="0">
                  <c:v>Ethiopia</c:v>
                </c:pt>
              </c:strCache>
            </c:strRef>
          </c:tx>
          <c:spPr>
            <a:ln w="28575" cap="rnd">
              <a:solidFill>
                <a:schemeClr val="accent6"/>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Analysis&amp;Graphs'!$B$7:$AK$7</c:f>
              <c:numCache>
                <c:formatCode>General</c:formatCode>
                <c:ptCount val="36"/>
                <c:pt idx="0">
                  <c:v>1</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1</c:v>
                </c:pt>
                <c:pt idx="24">
                  <c:v>2</c:v>
                </c:pt>
                <c:pt idx="25">
                  <c:v>2</c:v>
                </c:pt>
                <c:pt idx="26">
                  <c:v>1</c:v>
                </c:pt>
                <c:pt idx="27">
                  <c:v>9</c:v>
                </c:pt>
                <c:pt idx="28">
                  <c:v>3</c:v>
                </c:pt>
                <c:pt idx="29">
                  <c:v>2</c:v>
                </c:pt>
                <c:pt idx="30">
                  <c:v>11</c:v>
                </c:pt>
                <c:pt idx="31">
                  <c:v>2</c:v>
                </c:pt>
                <c:pt idx="32">
                  <c:v>5</c:v>
                </c:pt>
                <c:pt idx="33">
                  <c:v>2</c:v>
                </c:pt>
                <c:pt idx="34">
                  <c:v>1</c:v>
                </c:pt>
                <c:pt idx="35">
                  <c:v>0</c:v>
                </c:pt>
              </c:numCache>
            </c:numRef>
          </c:val>
          <c:smooth val="0"/>
          <c:extLst>
            <c:ext xmlns:c16="http://schemas.microsoft.com/office/drawing/2014/chart" uri="{C3380CC4-5D6E-409C-BE32-E72D297353CC}">
              <c16:uniqueId val="{00000005-D701-A24D-A546-578AD57681FC}"/>
            </c:ext>
          </c:extLst>
        </c:ser>
        <c:ser>
          <c:idx val="6"/>
          <c:order val="6"/>
          <c:tx>
            <c:strRef>
              <c:f>'Specific Analysis&amp;Graphs'!$A$8</c:f>
              <c:strCache>
                <c:ptCount val="1"/>
                <c:pt idx="0">
                  <c:v>Eritrea</c:v>
                </c:pt>
              </c:strCache>
            </c:strRef>
          </c:tx>
          <c:spPr>
            <a:ln w="28575" cap="rnd">
              <a:solidFill>
                <a:schemeClr val="accent1">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Analysis&amp;Graphs'!$B$8:$AK$8</c:f>
              <c:numCache>
                <c:formatCode>General</c:formatCode>
                <c:ptCount val="36"/>
                <c:pt idx="0">
                  <c:v>0</c:v>
                </c:pt>
                <c:pt idx="1">
                  <c:v>0</c:v>
                </c:pt>
                <c:pt idx="2">
                  <c:v>0</c:v>
                </c:pt>
                <c:pt idx="3">
                  <c:v>0</c:v>
                </c:pt>
                <c:pt idx="4">
                  <c:v>0</c:v>
                </c:pt>
                <c:pt idx="5">
                  <c:v>0</c:v>
                </c:pt>
                <c:pt idx="6">
                  <c:v>6</c:v>
                </c:pt>
                <c:pt idx="7">
                  <c:v>1</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0</c:v>
                </c:pt>
                <c:pt idx="24">
                  <c:v>0</c:v>
                </c:pt>
                <c:pt idx="25">
                  <c:v>2</c:v>
                </c:pt>
                <c:pt idx="26">
                  <c:v>1</c:v>
                </c:pt>
                <c:pt idx="27">
                  <c:v>8</c:v>
                </c:pt>
                <c:pt idx="28">
                  <c:v>0</c:v>
                </c:pt>
                <c:pt idx="29">
                  <c:v>2</c:v>
                </c:pt>
                <c:pt idx="30">
                  <c:v>8</c:v>
                </c:pt>
                <c:pt idx="31">
                  <c:v>2</c:v>
                </c:pt>
                <c:pt idx="32">
                  <c:v>0</c:v>
                </c:pt>
                <c:pt idx="33">
                  <c:v>0</c:v>
                </c:pt>
                <c:pt idx="34">
                  <c:v>0</c:v>
                </c:pt>
                <c:pt idx="35">
                  <c:v>0</c:v>
                </c:pt>
              </c:numCache>
            </c:numRef>
          </c:val>
          <c:smooth val="0"/>
          <c:extLst>
            <c:ext xmlns:c16="http://schemas.microsoft.com/office/drawing/2014/chart" uri="{C3380CC4-5D6E-409C-BE32-E72D297353CC}">
              <c16:uniqueId val="{00000006-D701-A24D-A546-578AD57681FC}"/>
            </c:ext>
          </c:extLst>
        </c:ser>
        <c:ser>
          <c:idx val="7"/>
          <c:order val="7"/>
          <c:tx>
            <c:strRef>
              <c:f>'Specific Analysis&amp;Graphs'!$A$9</c:f>
              <c:strCache>
                <c:ptCount val="1"/>
                <c:pt idx="0">
                  <c:v>Chad</c:v>
                </c:pt>
              </c:strCache>
            </c:strRef>
          </c:tx>
          <c:spPr>
            <a:ln w="28575" cap="rnd">
              <a:solidFill>
                <a:schemeClr val="accent2">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Analysis&amp;Graphs'!$B$9:$AK$9</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4</c:v>
                </c:pt>
                <c:pt idx="16">
                  <c:v>3</c:v>
                </c:pt>
                <c:pt idx="17">
                  <c:v>1</c:v>
                </c:pt>
                <c:pt idx="18">
                  <c:v>0</c:v>
                </c:pt>
                <c:pt idx="19">
                  <c:v>0</c:v>
                </c:pt>
                <c:pt idx="20">
                  <c:v>0</c:v>
                </c:pt>
                <c:pt idx="21">
                  <c:v>1</c:v>
                </c:pt>
                <c:pt idx="22">
                  <c:v>2</c:v>
                </c:pt>
                <c:pt idx="23">
                  <c:v>0</c:v>
                </c:pt>
                <c:pt idx="24">
                  <c:v>0</c:v>
                </c:pt>
                <c:pt idx="25">
                  <c:v>0</c:v>
                </c:pt>
                <c:pt idx="26">
                  <c:v>2</c:v>
                </c:pt>
                <c:pt idx="27">
                  <c:v>1</c:v>
                </c:pt>
                <c:pt idx="28">
                  <c:v>1</c:v>
                </c:pt>
                <c:pt idx="29">
                  <c:v>1</c:v>
                </c:pt>
                <c:pt idx="30">
                  <c:v>1</c:v>
                </c:pt>
                <c:pt idx="31">
                  <c:v>0</c:v>
                </c:pt>
                <c:pt idx="32">
                  <c:v>0</c:v>
                </c:pt>
                <c:pt idx="33">
                  <c:v>0</c:v>
                </c:pt>
                <c:pt idx="34">
                  <c:v>0</c:v>
                </c:pt>
                <c:pt idx="35">
                  <c:v>0</c:v>
                </c:pt>
              </c:numCache>
            </c:numRef>
          </c:val>
          <c:smooth val="0"/>
          <c:extLst>
            <c:ext xmlns:c16="http://schemas.microsoft.com/office/drawing/2014/chart" uri="{C3380CC4-5D6E-409C-BE32-E72D297353CC}">
              <c16:uniqueId val="{00000007-D701-A24D-A546-578AD57681FC}"/>
            </c:ext>
          </c:extLst>
        </c:ser>
        <c:ser>
          <c:idx val="8"/>
          <c:order val="8"/>
          <c:tx>
            <c:strRef>
              <c:f>'Specific Analysis&amp;Graphs'!$A$10</c:f>
              <c:strCache>
                <c:ptCount val="1"/>
                <c:pt idx="0">
                  <c:v>Somalia</c:v>
                </c:pt>
              </c:strCache>
            </c:strRef>
          </c:tx>
          <c:spPr>
            <a:ln w="28575" cap="rnd">
              <a:solidFill>
                <a:schemeClr val="accent3">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Analysis&amp;Graphs'!$B$10:$AK$10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1</c:v>
                </c:pt>
                <c:pt idx="30">
                  <c:v>0</c:v>
                </c:pt>
                <c:pt idx="31">
                  <c:v>0</c:v>
                </c:pt>
                <c:pt idx="32">
                  <c:v>2</c:v>
                </c:pt>
                <c:pt idx="33">
                  <c:v>0</c:v>
                </c:pt>
                <c:pt idx="34">
                  <c:v>1</c:v>
                </c:pt>
                <c:pt idx="35">
                  <c:v>0</c:v>
                </c:pt>
              </c:numCache>
            </c:numRef>
          </c:val>
          <c:smooth val="0"/>
          <c:extLst>
            <c:ext xmlns:c16="http://schemas.microsoft.com/office/drawing/2014/chart" uri="{C3380CC4-5D6E-409C-BE32-E72D297353CC}">
              <c16:uniqueId val="{00000008-D701-A24D-A546-578AD57681FC}"/>
            </c:ext>
          </c:extLst>
        </c:ser>
        <c:ser>
          <c:idx val="9"/>
          <c:order val="9"/>
          <c:tx>
            <c:strRef>
              <c:f>'Specific Analysis&amp;Graphs'!$A$11</c:f>
              <c:strCache>
                <c:ptCount val="1"/>
                <c:pt idx="0">
                  <c:v>Kenya</c:v>
                </c:pt>
              </c:strCache>
            </c:strRef>
          </c:tx>
          <c:spPr>
            <a:ln w="28575" cap="rnd">
              <a:solidFill>
                <a:schemeClr val="accent4">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Analysis&amp;Graphs'!$B$11:$AK$11</c:f>
              <c:numCache>
                <c:formatCode>General</c:formatCode>
                <c:ptCount val="36"/>
                <c:pt idx="0">
                  <c:v>0</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1</c:v>
                </c:pt>
                <c:pt idx="18">
                  <c:v>0</c:v>
                </c:pt>
                <c:pt idx="19">
                  <c:v>0</c:v>
                </c:pt>
                <c:pt idx="20">
                  <c:v>0</c:v>
                </c:pt>
                <c:pt idx="21">
                  <c:v>0</c:v>
                </c:pt>
                <c:pt idx="22">
                  <c:v>0</c:v>
                </c:pt>
                <c:pt idx="23">
                  <c:v>0</c:v>
                </c:pt>
                <c:pt idx="24">
                  <c:v>0</c:v>
                </c:pt>
                <c:pt idx="25">
                  <c:v>2</c:v>
                </c:pt>
                <c:pt idx="26">
                  <c:v>1</c:v>
                </c:pt>
                <c:pt idx="27">
                  <c:v>9</c:v>
                </c:pt>
                <c:pt idx="28">
                  <c:v>0</c:v>
                </c:pt>
                <c:pt idx="29">
                  <c:v>2</c:v>
                </c:pt>
                <c:pt idx="30">
                  <c:v>8</c:v>
                </c:pt>
                <c:pt idx="31">
                  <c:v>3</c:v>
                </c:pt>
                <c:pt idx="32">
                  <c:v>4</c:v>
                </c:pt>
                <c:pt idx="33">
                  <c:v>2</c:v>
                </c:pt>
                <c:pt idx="34">
                  <c:v>2</c:v>
                </c:pt>
                <c:pt idx="35">
                  <c:v>0</c:v>
                </c:pt>
              </c:numCache>
            </c:numRef>
          </c:val>
          <c:smooth val="0"/>
          <c:extLst>
            <c:ext xmlns:c16="http://schemas.microsoft.com/office/drawing/2014/chart" uri="{C3380CC4-5D6E-409C-BE32-E72D297353CC}">
              <c16:uniqueId val="{00000009-D701-A24D-A546-578AD57681FC}"/>
            </c:ext>
          </c:extLst>
        </c:ser>
        <c:ser>
          <c:idx val="10"/>
          <c:order val="10"/>
          <c:tx>
            <c:strRef>
              <c:f>'Specific Analysis&amp;Graphs'!$A$12</c:f>
              <c:strCache>
                <c:ptCount val="1"/>
                <c:pt idx="0">
                  <c:v>Uganda</c:v>
                </c:pt>
              </c:strCache>
            </c:strRef>
          </c:tx>
          <c:spPr>
            <a:ln w="28575" cap="rnd">
              <a:solidFill>
                <a:schemeClr val="accent5">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Analysis&amp;Graphs'!$B$12:$AK$12</c:f>
              <c:numCache>
                <c:formatCode>General</c:formatCode>
                <c:ptCount val="36"/>
                <c:pt idx="0">
                  <c:v>0</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0</c:v>
                </c:pt>
                <c:pt idx="24">
                  <c:v>0</c:v>
                </c:pt>
                <c:pt idx="25">
                  <c:v>2</c:v>
                </c:pt>
                <c:pt idx="26">
                  <c:v>1</c:v>
                </c:pt>
                <c:pt idx="27">
                  <c:v>8</c:v>
                </c:pt>
                <c:pt idx="28">
                  <c:v>0</c:v>
                </c:pt>
                <c:pt idx="29">
                  <c:v>5</c:v>
                </c:pt>
                <c:pt idx="30">
                  <c:v>10</c:v>
                </c:pt>
                <c:pt idx="31">
                  <c:v>3</c:v>
                </c:pt>
                <c:pt idx="32">
                  <c:v>3</c:v>
                </c:pt>
                <c:pt idx="33">
                  <c:v>1</c:v>
                </c:pt>
                <c:pt idx="34">
                  <c:v>1</c:v>
                </c:pt>
                <c:pt idx="35">
                  <c:v>0</c:v>
                </c:pt>
              </c:numCache>
            </c:numRef>
          </c:val>
          <c:smooth val="0"/>
          <c:extLst>
            <c:ext xmlns:c16="http://schemas.microsoft.com/office/drawing/2014/chart" uri="{C3380CC4-5D6E-409C-BE32-E72D297353CC}">
              <c16:uniqueId val="{0000000A-D701-A24D-A546-578AD57681FC}"/>
            </c:ext>
          </c:extLst>
        </c:ser>
        <c:ser>
          <c:idx val="11"/>
          <c:order val="11"/>
          <c:tx>
            <c:strRef>
              <c:f>'Specific Analysis&amp;Graphs'!$A$13</c:f>
              <c:strCache>
                <c:ptCount val="1"/>
                <c:pt idx="0">
                  <c:v>Nigeria</c:v>
                </c:pt>
              </c:strCache>
            </c:strRef>
          </c:tx>
          <c:spPr>
            <a:ln w="28575" cap="rnd">
              <a:solidFill>
                <a:schemeClr val="accent6">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Analysis&amp;Graphs'!$B$13:$AK$13</c:f>
              <c:numCache>
                <c:formatCode>General</c:formatCode>
                <c:ptCount val="36"/>
                <c:pt idx="0">
                  <c:v>0</c:v>
                </c:pt>
                <c:pt idx="1">
                  <c:v>0</c:v>
                </c:pt>
                <c:pt idx="2">
                  <c:v>0</c:v>
                </c:pt>
                <c:pt idx="3">
                  <c:v>1</c:v>
                </c:pt>
                <c:pt idx="4">
                  <c:v>1</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1</c:v>
                </c:pt>
                <c:pt idx="30">
                  <c:v>1</c:v>
                </c:pt>
                <c:pt idx="31">
                  <c:v>0</c:v>
                </c:pt>
                <c:pt idx="32">
                  <c:v>1</c:v>
                </c:pt>
                <c:pt idx="33">
                  <c:v>0</c:v>
                </c:pt>
                <c:pt idx="34">
                  <c:v>0</c:v>
                </c:pt>
                <c:pt idx="35">
                  <c:v>0</c:v>
                </c:pt>
              </c:numCache>
            </c:numRef>
          </c:val>
          <c:smooth val="0"/>
          <c:extLst>
            <c:ext xmlns:c16="http://schemas.microsoft.com/office/drawing/2014/chart" uri="{C3380CC4-5D6E-409C-BE32-E72D297353CC}">
              <c16:uniqueId val="{0000000B-D701-A24D-A546-578AD57681FC}"/>
            </c:ext>
          </c:extLst>
        </c:ser>
        <c:ser>
          <c:idx val="12"/>
          <c:order val="12"/>
          <c:tx>
            <c:strRef>
              <c:f>'Specific Analysis&amp;Graphs'!$A$14</c:f>
              <c:strCache>
                <c:ptCount val="1"/>
                <c:pt idx="0">
                  <c:v>United Kingdom</c:v>
                </c:pt>
              </c:strCache>
            </c:strRef>
          </c:tx>
          <c:spPr>
            <a:ln w="28575" cap="rnd">
              <a:solidFill>
                <a:schemeClr val="accent1">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Analysis&amp;Graphs'!$B$14:$AK$14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5</c:v>
                </c:pt>
                <c:pt idx="15">
                  <c:v>12</c:v>
                </c:pt>
                <c:pt idx="16">
                  <c:v>5</c:v>
                </c:pt>
                <c:pt idx="17">
                  <c:v>1</c:v>
                </c:pt>
                <c:pt idx="18">
                  <c:v>1</c:v>
                </c:pt>
                <c:pt idx="19">
                  <c:v>0</c:v>
                </c:pt>
                <c:pt idx="20">
                  <c:v>0</c:v>
                </c:pt>
                <c:pt idx="21">
                  <c:v>0</c:v>
                </c:pt>
                <c:pt idx="22">
                  <c:v>0</c:v>
                </c:pt>
                <c:pt idx="23">
                  <c:v>0</c:v>
                </c:pt>
                <c:pt idx="24">
                  <c:v>0</c:v>
                </c:pt>
                <c:pt idx="25">
                  <c:v>0</c:v>
                </c:pt>
                <c:pt idx="26">
                  <c:v>0</c:v>
                </c:pt>
                <c:pt idx="27">
                  <c:v>3</c:v>
                </c:pt>
                <c:pt idx="28">
                  <c:v>0</c:v>
                </c:pt>
                <c:pt idx="29">
                  <c:v>1</c:v>
                </c:pt>
                <c:pt idx="30">
                  <c:v>7</c:v>
                </c:pt>
                <c:pt idx="31">
                  <c:v>2</c:v>
                </c:pt>
                <c:pt idx="32">
                  <c:v>9</c:v>
                </c:pt>
                <c:pt idx="33">
                  <c:v>4</c:v>
                </c:pt>
                <c:pt idx="34">
                  <c:v>5</c:v>
                </c:pt>
                <c:pt idx="35">
                  <c:v>0</c:v>
                </c:pt>
              </c:numCache>
            </c:numRef>
          </c:val>
          <c:smooth val="0"/>
          <c:extLst>
            <c:ext xmlns:c16="http://schemas.microsoft.com/office/drawing/2014/chart" uri="{C3380CC4-5D6E-409C-BE32-E72D297353CC}">
              <c16:uniqueId val="{0000000C-D701-A24D-A546-578AD57681FC}"/>
            </c:ext>
          </c:extLst>
        </c:ser>
        <c:ser>
          <c:idx val="13"/>
          <c:order val="13"/>
          <c:tx>
            <c:strRef>
              <c:f>'Specific Analysis&amp;Graphs'!$A$15</c:f>
              <c:strCache>
                <c:ptCount val="1"/>
                <c:pt idx="0">
                  <c:v>United States of America</c:v>
                </c:pt>
              </c:strCache>
            </c:strRef>
          </c:tx>
          <c:spPr>
            <a:ln w="28575" cap="rnd">
              <a:solidFill>
                <a:schemeClr val="accent2">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Analysis&amp;Graphs'!$B$15:$AK$15</c:f>
              <c:numCache>
                <c:formatCode>General</c:formatCode>
                <c:ptCount val="36"/>
                <c:pt idx="0">
                  <c:v>0</c:v>
                </c:pt>
                <c:pt idx="1">
                  <c:v>0</c:v>
                </c:pt>
                <c:pt idx="2">
                  <c:v>1</c:v>
                </c:pt>
                <c:pt idx="3">
                  <c:v>0</c:v>
                </c:pt>
                <c:pt idx="4">
                  <c:v>0</c:v>
                </c:pt>
                <c:pt idx="5">
                  <c:v>0</c:v>
                </c:pt>
                <c:pt idx="6">
                  <c:v>0</c:v>
                </c:pt>
                <c:pt idx="7">
                  <c:v>0</c:v>
                </c:pt>
                <c:pt idx="8">
                  <c:v>0</c:v>
                </c:pt>
                <c:pt idx="9">
                  <c:v>0</c:v>
                </c:pt>
                <c:pt idx="10">
                  <c:v>0</c:v>
                </c:pt>
                <c:pt idx="11">
                  <c:v>0</c:v>
                </c:pt>
                <c:pt idx="12">
                  <c:v>0</c:v>
                </c:pt>
                <c:pt idx="13">
                  <c:v>1</c:v>
                </c:pt>
                <c:pt idx="14">
                  <c:v>6</c:v>
                </c:pt>
                <c:pt idx="15">
                  <c:v>12</c:v>
                </c:pt>
                <c:pt idx="16">
                  <c:v>8</c:v>
                </c:pt>
                <c:pt idx="17">
                  <c:v>1</c:v>
                </c:pt>
                <c:pt idx="18">
                  <c:v>2</c:v>
                </c:pt>
                <c:pt idx="19">
                  <c:v>0</c:v>
                </c:pt>
                <c:pt idx="20">
                  <c:v>0</c:v>
                </c:pt>
                <c:pt idx="21">
                  <c:v>0</c:v>
                </c:pt>
                <c:pt idx="22">
                  <c:v>0</c:v>
                </c:pt>
                <c:pt idx="23">
                  <c:v>0</c:v>
                </c:pt>
                <c:pt idx="24">
                  <c:v>0</c:v>
                </c:pt>
                <c:pt idx="25">
                  <c:v>0</c:v>
                </c:pt>
                <c:pt idx="26">
                  <c:v>0</c:v>
                </c:pt>
                <c:pt idx="27">
                  <c:v>4</c:v>
                </c:pt>
                <c:pt idx="28">
                  <c:v>2</c:v>
                </c:pt>
                <c:pt idx="29">
                  <c:v>1</c:v>
                </c:pt>
                <c:pt idx="30">
                  <c:v>7</c:v>
                </c:pt>
                <c:pt idx="31">
                  <c:v>2</c:v>
                </c:pt>
                <c:pt idx="32">
                  <c:v>8</c:v>
                </c:pt>
                <c:pt idx="33">
                  <c:v>5</c:v>
                </c:pt>
                <c:pt idx="34">
                  <c:v>5</c:v>
                </c:pt>
                <c:pt idx="35">
                  <c:v>0</c:v>
                </c:pt>
              </c:numCache>
            </c:numRef>
          </c:val>
          <c:smooth val="0"/>
          <c:extLst>
            <c:ext xmlns:c16="http://schemas.microsoft.com/office/drawing/2014/chart" uri="{C3380CC4-5D6E-409C-BE32-E72D297353CC}">
              <c16:uniqueId val="{0000000D-D701-A24D-A546-578AD57681FC}"/>
            </c:ext>
          </c:extLst>
        </c:ser>
        <c:ser>
          <c:idx val="14"/>
          <c:order val="14"/>
          <c:tx>
            <c:strRef>
              <c:f>'Specific Analysis&amp;Graphs'!$A$16</c:f>
              <c:strCache>
                <c:ptCount val="1"/>
                <c:pt idx="0">
                  <c:v>UN</c:v>
                </c:pt>
              </c:strCache>
            </c:strRef>
          </c:tx>
          <c:spPr>
            <a:ln w="28575" cap="rnd">
              <a:solidFill>
                <a:schemeClr val="accent3">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Analysis&amp;Graphs'!$B$16:$AK$16</c:f>
              <c:numCache>
                <c:formatCode>General</c:formatCode>
                <c:ptCount val="36"/>
                <c:pt idx="0">
                  <c:v>0</c:v>
                </c:pt>
                <c:pt idx="1">
                  <c:v>2</c:v>
                </c:pt>
                <c:pt idx="2">
                  <c:v>0</c:v>
                </c:pt>
                <c:pt idx="3">
                  <c:v>0</c:v>
                </c:pt>
                <c:pt idx="4">
                  <c:v>0</c:v>
                </c:pt>
                <c:pt idx="5">
                  <c:v>0</c:v>
                </c:pt>
                <c:pt idx="6">
                  <c:v>0</c:v>
                </c:pt>
                <c:pt idx="7">
                  <c:v>0</c:v>
                </c:pt>
                <c:pt idx="8">
                  <c:v>1</c:v>
                </c:pt>
                <c:pt idx="9">
                  <c:v>0</c:v>
                </c:pt>
                <c:pt idx="10">
                  <c:v>0</c:v>
                </c:pt>
                <c:pt idx="11">
                  <c:v>0</c:v>
                </c:pt>
                <c:pt idx="12">
                  <c:v>2</c:v>
                </c:pt>
                <c:pt idx="13">
                  <c:v>0</c:v>
                </c:pt>
                <c:pt idx="14">
                  <c:v>0</c:v>
                </c:pt>
                <c:pt idx="15">
                  <c:v>0</c:v>
                </c:pt>
                <c:pt idx="16">
                  <c:v>2</c:v>
                </c:pt>
                <c:pt idx="17">
                  <c:v>1</c:v>
                </c:pt>
                <c:pt idx="18">
                  <c:v>1</c:v>
                </c:pt>
                <c:pt idx="19">
                  <c:v>0</c:v>
                </c:pt>
                <c:pt idx="20">
                  <c:v>2</c:v>
                </c:pt>
                <c:pt idx="21">
                  <c:v>1</c:v>
                </c:pt>
                <c:pt idx="22">
                  <c:v>0</c:v>
                </c:pt>
                <c:pt idx="23">
                  <c:v>0</c:v>
                </c:pt>
                <c:pt idx="24">
                  <c:v>4</c:v>
                </c:pt>
                <c:pt idx="25">
                  <c:v>5</c:v>
                </c:pt>
                <c:pt idx="26">
                  <c:v>2</c:v>
                </c:pt>
                <c:pt idx="27">
                  <c:v>3</c:v>
                </c:pt>
                <c:pt idx="28">
                  <c:v>0</c:v>
                </c:pt>
                <c:pt idx="29">
                  <c:v>1</c:v>
                </c:pt>
                <c:pt idx="30">
                  <c:v>3</c:v>
                </c:pt>
                <c:pt idx="31">
                  <c:v>2</c:v>
                </c:pt>
                <c:pt idx="32">
                  <c:v>36</c:v>
                </c:pt>
                <c:pt idx="33">
                  <c:v>33</c:v>
                </c:pt>
                <c:pt idx="34">
                  <c:v>29</c:v>
                </c:pt>
                <c:pt idx="35">
                  <c:v>3</c:v>
                </c:pt>
              </c:numCache>
            </c:numRef>
          </c:val>
          <c:smooth val="0"/>
          <c:extLst>
            <c:ext xmlns:c16="http://schemas.microsoft.com/office/drawing/2014/chart" uri="{C3380CC4-5D6E-409C-BE32-E72D297353CC}">
              <c16:uniqueId val="{0000000E-D701-A24D-A546-578AD57681FC}"/>
            </c:ext>
          </c:extLst>
        </c:ser>
        <c:ser>
          <c:idx val="15"/>
          <c:order val="15"/>
          <c:tx>
            <c:strRef>
              <c:f>'Specific Analysis&amp;Graphs'!$A$17</c:f>
              <c:strCache>
                <c:ptCount val="1"/>
                <c:pt idx="0">
                  <c:v>EU</c:v>
                </c:pt>
              </c:strCache>
            </c:strRef>
          </c:tx>
          <c:spPr>
            <a:ln w="28575" cap="rnd">
              <a:solidFill>
                <a:schemeClr val="accent4">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Analysis&amp;Graphs'!$B$17:$AK$17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4</c:v>
                </c:pt>
                <c:pt idx="17">
                  <c:v>1</c:v>
                </c:pt>
                <c:pt idx="18">
                  <c:v>2</c:v>
                </c:pt>
                <c:pt idx="19">
                  <c:v>0</c:v>
                </c:pt>
                <c:pt idx="20">
                  <c:v>0</c:v>
                </c:pt>
                <c:pt idx="21">
                  <c:v>0</c:v>
                </c:pt>
                <c:pt idx="22">
                  <c:v>0</c:v>
                </c:pt>
                <c:pt idx="23">
                  <c:v>0</c:v>
                </c:pt>
                <c:pt idx="24">
                  <c:v>0</c:v>
                </c:pt>
                <c:pt idx="25">
                  <c:v>0</c:v>
                </c:pt>
                <c:pt idx="26">
                  <c:v>0</c:v>
                </c:pt>
                <c:pt idx="27">
                  <c:v>3</c:v>
                </c:pt>
                <c:pt idx="28">
                  <c:v>0</c:v>
                </c:pt>
                <c:pt idx="29">
                  <c:v>1</c:v>
                </c:pt>
                <c:pt idx="30">
                  <c:v>2</c:v>
                </c:pt>
                <c:pt idx="31">
                  <c:v>0</c:v>
                </c:pt>
                <c:pt idx="32">
                  <c:v>10</c:v>
                </c:pt>
                <c:pt idx="33">
                  <c:v>2</c:v>
                </c:pt>
                <c:pt idx="34">
                  <c:v>4</c:v>
                </c:pt>
                <c:pt idx="35">
                  <c:v>0</c:v>
                </c:pt>
              </c:numCache>
            </c:numRef>
          </c:val>
          <c:smooth val="0"/>
          <c:extLst>
            <c:ext xmlns:c16="http://schemas.microsoft.com/office/drawing/2014/chart" uri="{C3380CC4-5D6E-409C-BE32-E72D297353CC}">
              <c16:uniqueId val="{0000000F-D701-A24D-A546-578AD57681FC}"/>
            </c:ext>
          </c:extLst>
        </c:ser>
        <c:ser>
          <c:idx val="16"/>
          <c:order val="16"/>
          <c:tx>
            <c:strRef>
              <c:f>'Specific Analysis&amp;Graphs'!$A$18</c:f>
              <c:strCache>
                <c:ptCount val="1"/>
                <c:pt idx="0">
                  <c:v>Egypt</c:v>
                </c:pt>
              </c:strCache>
            </c:strRef>
          </c:tx>
          <c:spPr>
            <a:ln w="28575" cap="rnd">
              <a:solidFill>
                <a:schemeClr val="accent5">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Analysis&amp;Graphs'!$B$18:$AK$18</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0</c:v>
                </c:pt>
                <c:pt idx="15">
                  <c:v>0</c:v>
                </c:pt>
                <c:pt idx="16">
                  <c:v>1</c:v>
                </c:pt>
                <c:pt idx="17">
                  <c:v>4</c:v>
                </c:pt>
                <c:pt idx="18">
                  <c:v>0</c:v>
                </c:pt>
                <c:pt idx="19">
                  <c:v>0</c:v>
                </c:pt>
                <c:pt idx="20">
                  <c:v>0</c:v>
                </c:pt>
                <c:pt idx="21">
                  <c:v>0</c:v>
                </c:pt>
                <c:pt idx="22">
                  <c:v>0</c:v>
                </c:pt>
                <c:pt idx="23">
                  <c:v>0</c:v>
                </c:pt>
                <c:pt idx="24">
                  <c:v>0</c:v>
                </c:pt>
                <c:pt idx="25">
                  <c:v>0</c:v>
                </c:pt>
                <c:pt idx="26">
                  <c:v>0</c:v>
                </c:pt>
                <c:pt idx="27">
                  <c:v>0</c:v>
                </c:pt>
                <c:pt idx="28">
                  <c:v>0</c:v>
                </c:pt>
                <c:pt idx="29">
                  <c:v>2</c:v>
                </c:pt>
                <c:pt idx="30">
                  <c:v>0</c:v>
                </c:pt>
                <c:pt idx="31">
                  <c:v>1</c:v>
                </c:pt>
                <c:pt idx="32">
                  <c:v>4</c:v>
                </c:pt>
                <c:pt idx="33">
                  <c:v>1</c:v>
                </c:pt>
                <c:pt idx="34">
                  <c:v>0</c:v>
                </c:pt>
                <c:pt idx="35">
                  <c:v>0</c:v>
                </c:pt>
              </c:numCache>
            </c:numRef>
          </c:val>
          <c:smooth val="0"/>
          <c:extLst>
            <c:ext xmlns:c16="http://schemas.microsoft.com/office/drawing/2014/chart" uri="{C3380CC4-5D6E-409C-BE32-E72D297353CC}">
              <c16:uniqueId val="{00000010-D701-A24D-A546-578AD57681FC}"/>
            </c:ext>
          </c:extLst>
        </c:ser>
        <c:ser>
          <c:idx val="17"/>
          <c:order val="17"/>
          <c:tx>
            <c:strRef>
              <c:f>'Specific Analysis&amp;Graphs'!$A$19</c:f>
              <c:strCache>
                <c:ptCount val="1"/>
                <c:pt idx="0">
                  <c:v>Libya</c:v>
                </c:pt>
              </c:strCache>
            </c:strRef>
          </c:tx>
          <c:spPr>
            <a:ln w="28575" cap="rnd">
              <a:solidFill>
                <a:schemeClr val="accent6">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Analysis&amp;Graphs'!$B$19:$AK$19</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11-D701-A24D-A546-578AD57681FC}"/>
            </c:ext>
          </c:extLst>
        </c:ser>
        <c:ser>
          <c:idx val="18"/>
          <c:order val="18"/>
          <c:tx>
            <c:strRef>
              <c:f>'Specific Analysis&amp;Graphs'!$A$20</c:f>
              <c:strCache>
                <c:ptCount val="1"/>
                <c:pt idx="0">
                  <c:v>Saudi Arabia</c:v>
                </c:pt>
              </c:strCache>
            </c:strRef>
          </c:tx>
          <c:spPr>
            <a:ln w="28575" cap="rnd">
              <a:solidFill>
                <a:schemeClr val="accent1">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Analysis&amp;Graphs'!$B$20:$AK$20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2</c:v>
                </c:pt>
                <c:pt idx="32">
                  <c:v>4</c:v>
                </c:pt>
                <c:pt idx="33">
                  <c:v>2</c:v>
                </c:pt>
                <c:pt idx="34">
                  <c:v>1</c:v>
                </c:pt>
                <c:pt idx="35">
                  <c:v>0</c:v>
                </c:pt>
              </c:numCache>
            </c:numRef>
          </c:val>
          <c:smooth val="0"/>
          <c:extLst>
            <c:ext xmlns:c16="http://schemas.microsoft.com/office/drawing/2014/chart" uri="{C3380CC4-5D6E-409C-BE32-E72D297353CC}">
              <c16:uniqueId val="{00000012-D701-A24D-A546-578AD57681FC}"/>
            </c:ext>
          </c:extLst>
        </c:ser>
        <c:ser>
          <c:idx val="19"/>
          <c:order val="19"/>
          <c:tx>
            <c:strRef>
              <c:f>'Specific Analysis&amp;Graphs'!$A$21</c:f>
              <c:strCache>
                <c:ptCount val="1"/>
                <c:pt idx="0">
                  <c:v>Sudan</c:v>
                </c:pt>
              </c:strCache>
            </c:strRef>
          </c:tx>
          <c:spPr>
            <a:ln w="28575" cap="rnd">
              <a:solidFill>
                <a:schemeClr val="accent2">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Analysis&amp;Graphs'!$B$21:$AK$21</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2</c:v>
                </c:pt>
                <c:pt idx="26">
                  <c:v>2</c:v>
                </c:pt>
                <c:pt idx="27">
                  <c:v>8</c:v>
                </c:pt>
                <c:pt idx="28">
                  <c:v>0</c:v>
                </c:pt>
                <c:pt idx="29">
                  <c:v>2</c:v>
                </c:pt>
                <c:pt idx="30">
                  <c:v>11</c:v>
                </c:pt>
                <c:pt idx="31">
                  <c:v>6</c:v>
                </c:pt>
                <c:pt idx="32">
                  <c:v>15</c:v>
                </c:pt>
                <c:pt idx="33">
                  <c:v>11</c:v>
                </c:pt>
                <c:pt idx="34">
                  <c:v>1</c:v>
                </c:pt>
                <c:pt idx="35">
                  <c:v>0</c:v>
                </c:pt>
              </c:numCache>
            </c:numRef>
          </c:val>
          <c:smooth val="0"/>
          <c:extLst>
            <c:ext xmlns:c16="http://schemas.microsoft.com/office/drawing/2014/chart" uri="{C3380CC4-5D6E-409C-BE32-E72D297353CC}">
              <c16:uniqueId val="{00000013-D701-A24D-A546-578AD57681FC}"/>
            </c:ext>
          </c:extLst>
        </c:ser>
        <c:ser>
          <c:idx val="20"/>
          <c:order val="20"/>
          <c:tx>
            <c:strRef>
              <c:f>'Specific Analysis&amp;Graphs'!$A$22</c:f>
              <c:strCache>
                <c:ptCount val="1"/>
                <c:pt idx="0">
                  <c:v>South Sudan</c:v>
                </c:pt>
              </c:strCache>
            </c:strRef>
          </c:tx>
          <c:spPr>
            <a:ln w="28575" cap="rnd">
              <a:solidFill>
                <a:schemeClr val="accent3">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Analysis&amp;Graphs'!$B$22:$AK$22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1</c:v>
                </c:pt>
                <c:pt idx="31">
                  <c:v>3</c:v>
                </c:pt>
                <c:pt idx="32">
                  <c:v>13</c:v>
                </c:pt>
                <c:pt idx="33">
                  <c:v>7</c:v>
                </c:pt>
                <c:pt idx="34">
                  <c:v>0</c:v>
                </c:pt>
                <c:pt idx="35">
                  <c:v>0</c:v>
                </c:pt>
              </c:numCache>
            </c:numRef>
          </c:val>
          <c:smooth val="0"/>
          <c:extLst>
            <c:ext xmlns:c16="http://schemas.microsoft.com/office/drawing/2014/chart" uri="{C3380CC4-5D6E-409C-BE32-E72D297353CC}">
              <c16:uniqueId val="{00000014-D701-A24D-A546-578AD57681FC}"/>
            </c:ext>
          </c:extLst>
        </c:ser>
        <c:dLbls>
          <c:showLegendKey val="0"/>
          <c:showVal val="0"/>
          <c:showCatName val="0"/>
          <c:showSerName val="0"/>
          <c:showPercent val="0"/>
          <c:showBubbleSize val="0"/>
        </c:dLbls>
        <c:smooth val="0"/>
        <c:axId val="1947046207"/>
        <c:axId val="125631904"/>
      </c:lineChart>
      <c:catAx>
        <c:axId val="1947046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1904"/>
        <c:crosses val="autoZero"/>
        <c:auto val="1"/>
        <c:lblAlgn val="ctr"/>
        <c:lblOffset val="100"/>
        <c:noMultiLvlLbl val="0"/>
      </c:catAx>
      <c:valAx>
        <c:axId val="125631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46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Western</a:t>
            </a:r>
            <a:r>
              <a:rPr lang="en-GB" baseline="0"/>
              <a:t> &amp; Non-Western State Mediation of the Conflicts in Sudan &amp; South Sudan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Analysis&amp;Graphs'!$A$54</c:f>
              <c:strCache>
                <c:ptCount val="1"/>
                <c:pt idx="0">
                  <c:v>Russia</c:v>
                </c:pt>
              </c:strCache>
            </c:strRef>
          </c:tx>
          <c:spPr>
            <a:ln w="28575" cap="rnd">
              <a:solidFill>
                <a:schemeClr val="accent1"/>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Analysis&amp;Graphs'!$B$54:$AK$54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1</c:v>
                </c:pt>
                <c:pt idx="26">
                  <c:v>0</c:v>
                </c:pt>
                <c:pt idx="27">
                  <c:v>0</c:v>
                </c:pt>
                <c:pt idx="28">
                  <c:v>0</c:v>
                </c:pt>
                <c:pt idx="29">
                  <c:v>0</c:v>
                </c:pt>
                <c:pt idx="30">
                  <c:v>0</c:v>
                </c:pt>
                <c:pt idx="31">
                  <c:v>0</c:v>
                </c:pt>
                <c:pt idx="32">
                  <c:v>3</c:v>
                </c:pt>
                <c:pt idx="33">
                  <c:v>0</c:v>
                </c:pt>
                <c:pt idx="34">
                  <c:v>0</c:v>
                </c:pt>
                <c:pt idx="35">
                  <c:v>0</c:v>
                </c:pt>
              </c:numCache>
            </c:numRef>
          </c:val>
          <c:smooth val="0"/>
          <c:extLst>
            <c:ext xmlns:c16="http://schemas.microsoft.com/office/drawing/2014/chart" uri="{C3380CC4-5D6E-409C-BE32-E72D297353CC}">
              <c16:uniqueId val="{00000000-6E69-5E48-BAD3-BF25584B5DD9}"/>
            </c:ext>
          </c:extLst>
        </c:ser>
        <c:ser>
          <c:idx val="1"/>
          <c:order val="1"/>
          <c:tx>
            <c:strRef>
              <c:f>'Specific Analysis&amp;Graphs'!$A$55</c:f>
              <c:strCache>
                <c:ptCount val="1"/>
                <c:pt idx="0">
                  <c:v>China</c:v>
                </c:pt>
              </c:strCache>
            </c:strRef>
          </c:tx>
          <c:spPr>
            <a:ln w="28575" cap="rnd">
              <a:solidFill>
                <a:schemeClr val="accent2"/>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Analysis&amp;Graphs'!$B$55:$AK$55</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3</c:v>
                </c:pt>
                <c:pt idx="28">
                  <c:v>0</c:v>
                </c:pt>
                <c:pt idx="29">
                  <c:v>0</c:v>
                </c:pt>
                <c:pt idx="30">
                  <c:v>2</c:v>
                </c:pt>
                <c:pt idx="31">
                  <c:v>0</c:v>
                </c:pt>
                <c:pt idx="32">
                  <c:v>4</c:v>
                </c:pt>
                <c:pt idx="33">
                  <c:v>0</c:v>
                </c:pt>
                <c:pt idx="34">
                  <c:v>1</c:v>
                </c:pt>
                <c:pt idx="35">
                  <c:v>0</c:v>
                </c:pt>
              </c:numCache>
            </c:numRef>
          </c:val>
          <c:smooth val="0"/>
          <c:extLst>
            <c:ext xmlns:c16="http://schemas.microsoft.com/office/drawing/2014/chart" uri="{C3380CC4-5D6E-409C-BE32-E72D297353CC}">
              <c16:uniqueId val="{00000001-6E69-5E48-BAD3-BF25584B5DD9}"/>
            </c:ext>
          </c:extLst>
        </c:ser>
        <c:ser>
          <c:idx val="2"/>
          <c:order val="2"/>
          <c:tx>
            <c:strRef>
              <c:f>'Specific Analysis&amp;Graphs'!$A$56</c:f>
              <c:strCache>
                <c:ptCount val="1"/>
                <c:pt idx="0">
                  <c:v>United Kingdom</c:v>
                </c:pt>
              </c:strCache>
            </c:strRef>
          </c:tx>
          <c:spPr>
            <a:ln w="28575" cap="rnd">
              <a:solidFill>
                <a:schemeClr val="accent3"/>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Analysis&amp;Graphs'!$B$56:$AK$56</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6</c:v>
                </c:pt>
                <c:pt idx="15">
                  <c:v>10</c:v>
                </c:pt>
                <c:pt idx="16">
                  <c:v>4</c:v>
                </c:pt>
                <c:pt idx="17">
                  <c:v>0</c:v>
                </c:pt>
                <c:pt idx="18">
                  <c:v>1</c:v>
                </c:pt>
                <c:pt idx="19">
                  <c:v>0</c:v>
                </c:pt>
                <c:pt idx="20">
                  <c:v>0</c:v>
                </c:pt>
                <c:pt idx="21">
                  <c:v>0</c:v>
                </c:pt>
                <c:pt idx="22">
                  <c:v>0</c:v>
                </c:pt>
                <c:pt idx="23">
                  <c:v>0</c:v>
                </c:pt>
                <c:pt idx="24">
                  <c:v>0</c:v>
                </c:pt>
                <c:pt idx="25">
                  <c:v>0</c:v>
                </c:pt>
                <c:pt idx="26">
                  <c:v>1</c:v>
                </c:pt>
                <c:pt idx="27">
                  <c:v>2</c:v>
                </c:pt>
                <c:pt idx="28">
                  <c:v>1</c:v>
                </c:pt>
                <c:pt idx="29">
                  <c:v>4</c:v>
                </c:pt>
                <c:pt idx="30">
                  <c:v>6</c:v>
                </c:pt>
                <c:pt idx="31">
                  <c:v>1</c:v>
                </c:pt>
                <c:pt idx="32">
                  <c:v>9</c:v>
                </c:pt>
                <c:pt idx="33">
                  <c:v>4</c:v>
                </c:pt>
                <c:pt idx="34">
                  <c:v>3</c:v>
                </c:pt>
                <c:pt idx="35">
                  <c:v>0</c:v>
                </c:pt>
              </c:numCache>
            </c:numRef>
          </c:val>
          <c:smooth val="0"/>
          <c:extLst>
            <c:ext xmlns:c16="http://schemas.microsoft.com/office/drawing/2014/chart" uri="{C3380CC4-5D6E-409C-BE32-E72D297353CC}">
              <c16:uniqueId val="{00000002-6E69-5E48-BAD3-BF25584B5DD9}"/>
            </c:ext>
          </c:extLst>
        </c:ser>
        <c:ser>
          <c:idx val="3"/>
          <c:order val="3"/>
          <c:tx>
            <c:strRef>
              <c:f>'Specific Analysis&amp;Graphs'!$A$57</c:f>
              <c:strCache>
                <c:ptCount val="1"/>
                <c:pt idx="0">
                  <c:v>United States of America</c:v>
                </c:pt>
              </c:strCache>
            </c:strRef>
          </c:tx>
          <c:spPr>
            <a:ln w="28575" cap="rnd">
              <a:solidFill>
                <a:schemeClr val="accent4"/>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Analysis&amp;Graphs'!$B$57:$AK$57</c:f>
              <c:numCache>
                <c:formatCode>General</c:formatCode>
                <c:ptCount val="36"/>
                <c:pt idx="0">
                  <c:v>0</c:v>
                </c:pt>
                <c:pt idx="1">
                  <c:v>0</c:v>
                </c:pt>
                <c:pt idx="2">
                  <c:v>1</c:v>
                </c:pt>
                <c:pt idx="3">
                  <c:v>0</c:v>
                </c:pt>
                <c:pt idx="4">
                  <c:v>0</c:v>
                </c:pt>
                <c:pt idx="5">
                  <c:v>0</c:v>
                </c:pt>
                <c:pt idx="6">
                  <c:v>0</c:v>
                </c:pt>
                <c:pt idx="7">
                  <c:v>0</c:v>
                </c:pt>
                <c:pt idx="8">
                  <c:v>0</c:v>
                </c:pt>
                <c:pt idx="9">
                  <c:v>0</c:v>
                </c:pt>
                <c:pt idx="10">
                  <c:v>0</c:v>
                </c:pt>
                <c:pt idx="11">
                  <c:v>0</c:v>
                </c:pt>
                <c:pt idx="12">
                  <c:v>1</c:v>
                </c:pt>
                <c:pt idx="13">
                  <c:v>1</c:v>
                </c:pt>
                <c:pt idx="14">
                  <c:v>6</c:v>
                </c:pt>
                <c:pt idx="15">
                  <c:v>14</c:v>
                </c:pt>
                <c:pt idx="16">
                  <c:v>5</c:v>
                </c:pt>
                <c:pt idx="17">
                  <c:v>0</c:v>
                </c:pt>
                <c:pt idx="18">
                  <c:v>2</c:v>
                </c:pt>
                <c:pt idx="19">
                  <c:v>0</c:v>
                </c:pt>
                <c:pt idx="20">
                  <c:v>0</c:v>
                </c:pt>
                <c:pt idx="21">
                  <c:v>0</c:v>
                </c:pt>
                <c:pt idx="22">
                  <c:v>0</c:v>
                </c:pt>
                <c:pt idx="23">
                  <c:v>0</c:v>
                </c:pt>
                <c:pt idx="24">
                  <c:v>0</c:v>
                </c:pt>
                <c:pt idx="25">
                  <c:v>0</c:v>
                </c:pt>
                <c:pt idx="26">
                  <c:v>1</c:v>
                </c:pt>
                <c:pt idx="27">
                  <c:v>5</c:v>
                </c:pt>
                <c:pt idx="28">
                  <c:v>1</c:v>
                </c:pt>
                <c:pt idx="29">
                  <c:v>4</c:v>
                </c:pt>
                <c:pt idx="30">
                  <c:v>5</c:v>
                </c:pt>
                <c:pt idx="31">
                  <c:v>1</c:v>
                </c:pt>
                <c:pt idx="32">
                  <c:v>10</c:v>
                </c:pt>
                <c:pt idx="33">
                  <c:v>4</c:v>
                </c:pt>
                <c:pt idx="34">
                  <c:v>3</c:v>
                </c:pt>
                <c:pt idx="35">
                  <c:v>0</c:v>
                </c:pt>
              </c:numCache>
            </c:numRef>
          </c:val>
          <c:smooth val="0"/>
          <c:extLst>
            <c:ext xmlns:c16="http://schemas.microsoft.com/office/drawing/2014/chart" uri="{C3380CC4-5D6E-409C-BE32-E72D297353CC}">
              <c16:uniqueId val="{00000003-6E69-5E48-BAD3-BF25584B5DD9}"/>
            </c:ext>
          </c:extLst>
        </c:ser>
        <c:dLbls>
          <c:showLegendKey val="0"/>
          <c:showVal val="0"/>
          <c:showCatName val="0"/>
          <c:showSerName val="0"/>
          <c:showPercent val="0"/>
          <c:showBubbleSize val="0"/>
        </c:dLbls>
        <c:smooth val="0"/>
        <c:axId val="1931437487"/>
        <c:axId val="108031936"/>
      </c:lineChart>
      <c:catAx>
        <c:axId val="193143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1936"/>
        <c:crosses val="autoZero"/>
        <c:auto val="1"/>
        <c:lblAlgn val="ctr"/>
        <c:lblOffset val="100"/>
        <c:noMultiLvlLbl val="0"/>
      </c:catAx>
      <c:valAx>
        <c:axId val="108031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7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Global,</a:t>
            </a:r>
            <a:r>
              <a:rPr lang="en-GB" baseline="0"/>
              <a:t> Western &amp; African IGOs Mediating the Cofnlcits in Sudan and South Sudan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Analysis&amp;Graphs'!$A$89</c:f>
              <c:strCache>
                <c:ptCount val="1"/>
                <c:pt idx="0">
                  <c:v>UN</c:v>
                </c:pt>
              </c:strCache>
            </c:strRef>
          </c:tx>
          <c:spPr>
            <a:ln w="28575" cap="rnd">
              <a:solidFill>
                <a:schemeClr val="accent1"/>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Analysis&amp;Graphs'!$B$89:$AK$89</c:f>
              <c:numCache>
                <c:formatCode>General</c:formatCode>
                <c:ptCount val="36"/>
                <c:pt idx="0">
                  <c:v>0</c:v>
                </c:pt>
                <c:pt idx="1">
                  <c:v>2</c:v>
                </c:pt>
                <c:pt idx="2">
                  <c:v>0</c:v>
                </c:pt>
                <c:pt idx="3">
                  <c:v>0</c:v>
                </c:pt>
                <c:pt idx="4">
                  <c:v>0</c:v>
                </c:pt>
                <c:pt idx="5">
                  <c:v>0</c:v>
                </c:pt>
                <c:pt idx="6">
                  <c:v>0</c:v>
                </c:pt>
                <c:pt idx="7">
                  <c:v>0</c:v>
                </c:pt>
                <c:pt idx="8">
                  <c:v>1</c:v>
                </c:pt>
                <c:pt idx="9">
                  <c:v>0</c:v>
                </c:pt>
                <c:pt idx="10">
                  <c:v>0</c:v>
                </c:pt>
                <c:pt idx="11">
                  <c:v>0</c:v>
                </c:pt>
                <c:pt idx="12">
                  <c:v>0</c:v>
                </c:pt>
                <c:pt idx="13">
                  <c:v>0</c:v>
                </c:pt>
                <c:pt idx="14">
                  <c:v>0</c:v>
                </c:pt>
                <c:pt idx="15">
                  <c:v>1</c:v>
                </c:pt>
                <c:pt idx="16">
                  <c:v>7</c:v>
                </c:pt>
                <c:pt idx="17">
                  <c:v>4</c:v>
                </c:pt>
                <c:pt idx="18">
                  <c:v>1</c:v>
                </c:pt>
                <c:pt idx="19">
                  <c:v>0</c:v>
                </c:pt>
                <c:pt idx="20">
                  <c:v>2</c:v>
                </c:pt>
                <c:pt idx="21">
                  <c:v>1</c:v>
                </c:pt>
                <c:pt idx="22">
                  <c:v>0</c:v>
                </c:pt>
                <c:pt idx="23">
                  <c:v>0</c:v>
                </c:pt>
                <c:pt idx="24">
                  <c:v>2</c:v>
                </c:pt>
                <c:pt idx="25">
                  <c:v>1</c:v>
                </c:pt>
                <c:pt idx="26">
                  <c:v>1</c:v>
                </c:pt>
                <c:pt idx="27">
                  <c:v>2</c:v>
                </c:pt>
                <c:pt idx="28">
                  <c:v>2</c:v>
                </c:pt>
                <c:pt idx="29">
                  <c:v>0</c:v>
                </c:pt>
                <c:pt idx="30">
                  <c:v>13</c:v>
                </c:pt>
                <c:pt idx="31">
                  <c:v>4</c:v>
                </c:pt>
                <c:pt idx="32">
                  <c:v>35</c:v>
                </c:pt>
                <c:pt idx="33">
                  <c:v>38</c:v>
                </c:pt>
                <c:pt idx="34">
                  <c:v>14</c:v>
                </c:pt>
                <c:pt idx="35">
                  <c:v>3</c:v>
                </c:pt>
              </c:numCache>
            </c:numRef>
          </c:val>
          <c:smooth val="0"/>
          <c:extLst>
            <c:ext xmlns:c16="http://schemas.microsoft.com/office/drawing/2014/chart" uri="{C3380CC4-5D6E-409C-BE32-E72D297353CC}">
              <c16:uniqueId val="{00000000-B4A8-B647-ADA9-449F250A35C1}"/>
            </c:ext>
          </c:extLst>
        </c:ser>
        <c:ser>
          <c:idx val="1"/>
          <c:order val="1"/>
          <c:tx>
            <c:strRef>
              <c:f>'Specific Analysis&amp;Graphs'!$A$90</c:f>
              <c:strCache>
                <c:ptCount val="1"/>
                <c:pt idx="0">
                  <c:v>EU</c:v>
                </c:pt>
              </c:strCache>
            </c:strRef>
          </c:tx>
          <c:spPr>
            <a:ln w="28575" cap="rnd">
              <a:solidFill>
                <a:schemeClr val="accent2"/>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Analysis&amp;Graphs'!$B$90:$AK$90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c:v>
                </c:pt>
                <c:pt idx="16">
                  <c:v>4</c:v>
                </c:pt>
                <c:pt idx="17">
                  <c:v>0</c:v>
                </c:pt>
                <c:pt idx="18">
                  <c:v>2</c:v>
                </c:pt>
                <c:pt idx="19">
                  <c:v>0</c:v>
                </c:pt>
                <c:pt idx="20">
                  <c:v>0</c:v>
                </c:pt>
                <c:pt idx="21">
                  <c:v>0</c:v>
                </c:pt>
                <c:pt idx="22">
                  <c:v>0</c:v>
                </c:pt>
                <c:pt idx="23">
                  <c:v>0</c:v>
                </c:pt>
                <c:pt idx="24">
                  <c:v>0</c:v>
                </c:pt>
                <c:pt idx="25">
                  <c:v>1</c:v>
                </c:pt>
                <c:pt idx="26">
                  <c:v>1</c:v>
                </c:pt>
                <c:pt idx="27">
                  <c:v>2</c:v>
                </c:pt>
                <c:pt idx="28">
                  <c:v>0</c:v>
                </c:pt>
                <c:pt idx="29">
                  <c:v>0</c:v>
                </c:pt>
                <c:pt idx="30">
                  <c:v>3</c:v>
                </c:pt>
                <c:pt idx="31">
                  <c:v>3</c:v>
                </c:pt>
                <c:pt idx="32">
                  <c:v>8</c:v>
                </c:pt>
                <c:pt idx="33">
                  <c:v>3</c:v>
                </c:pt>
                <c:pt idx="34">
                  <c:v>1</c:v>
                </c:pt>
                <c:pt idx="35">
                  <c:v>0</c:v>
                </c:pt>
              </c:numCache>
            </c:numRef>
          </c:val>
          <c:smooth val="0"/>
          <c:extLst>
            <c:ext xmlns:c16="http://schemas.microsoft.com/office/drawing/2014/chart" uri="{C3380CC4-5D6E-409C-BE32-E72D297353CC}">
              <c16:uniqueId val="{00000001-B4A8-B647-ADA9-449F250A35C1}"/>
            </c:ext>
          </c:extLst>
        </c:ser>
        <c:ser>
          <c:idx val="2"/>
          <c:order val="2"/>
          <c:tx>
            <c:strRef>
              <c:f>'Specific Analysis&amp;Graphs'!$A$91</c:f>
              <c:strCache>
                <c:ptCount val="1"/>
                <c:pt idx="0">
                  <c:v>IGAD</c:v>
                </c:pt>
              </c:strCache>
            </c:strRef>
          </c:tx>
          <c:spPr>
            <a:ln w="28575" cap="rnd">
              <a:solidFill>
                <a:schemeClr val="accent3"/>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Analysis&amp;Graphs'!$B$91:$AK$91</c:f>
              <c:numCache>
                <c:formatCode>General</c:formatCode>
                <c:ptCount val="36"/>
                <c:pt idx="0">
                  <c:v>0</c:v>
                </c:pt>
                <c:pt idx="1">
                  <c:v>0</c:v>
                </c:pt>
                <c:pt idx="2">
                  <c:v>0</c:v>
                </c:pt>
                <c:pt idx="3">
                  <c:v>0</c:v>
                </c:pt>
                <c:pt idx="4">
                  <c:v>0</c:v>
                </c:pt>
                <c:pt idx="5">
                  <c:v>2</c:v>
                </c:pt>
                <c:pt idx="6">
                  <c:v>4</c:v>
                </c:pt>
                <c:pt idx="7">
                  <c:v>0</c:v>
                </c:pt>
                <c:pt idx="8">
                  <c:v>0</c:v>
                </c:pt>
                <c:pt idx="9">
                  <c:v>1</c:v>
                </c:pt>
                <c:pt idx="10">
                  <c:v>2</c:v>
                </c:pt>
                <c:pt idx="11">
                  <c:v>1</c:v>
                </c:pt>
                <c:pt idx="12">
                  <c:v>2</c:v>
                </c:pt>
                <c:pt idx="13">
                  <c:v>0</c:v>
                </c:pt>
                <c:pt idx="14">
                  <c:v>6</c:v>
                </c:pt>
                <c:pt idx="15">
                  <c:v>8</c:v>
                </c:pt>
                <c:pt idx="16">
                  <c:v>2</c:v>
                </c:pt>
                <c:pt idx="17">
                  <c:v>0</c:v>
                </c:pt>
                <c:pt idx="18">
                  <c:v>0</c:v>
                </c:pt>
                <c:pt idx="19">
                  <c:v>0</c:v>
                </c:pt>
                <c:pt idx="20">
                  <c:v>0</c:v>
                </c:pt>
                <c:pt idx="21">
                  <c:v>0</c:v>
                </c:pt>
                <c:pt idx="22">
                  <c:v>0</c:v>
                </c:pt>
                <c:pt idx="23">
                  <c:v>0</c:v>
                </c:pt>
                <c:pt idx="24">
                  <c:v>1</c:v>
                </c:pt>
                <c:pt idx="25">
                  <c:v>4</c:v>
                </c:pt>
                <c:pt idx="26">
                  <c:v>1</c:v>
                </c:pt>
                <c:pt idx="27">
                  <c:v>4</c:v>
                </c:pt>
                <c:pt idx="28">
                  <c:v>2</c:v>
                </c:pt>
                <c:pt idx="29">
                  <c:v>6</c:v>
                </c:pt>
                <c:pt idx="30">
                  <c:v>4</c:v>
                </c:pt>
                <c:pt idx="31">
                  <c:v>0</c:v>
                </c:pt>
                <c:pt idx="32">
                  <c:v>14</c:v>
                </c:pt>
                <c:pt idx="33">
                  <c:v>15</c:v>
                </c:pt>
                <c:pt idx="34">
                  <c:v>5</c:v>
                </c:pt>
                <c:pt idx="35">
                  <c:v>1</c:v>
                </c:pt>
              </c:numCache>
            </c:numRef>
          </c:val>
          <c:smooth val="0"/>
          <c:extLst>
            <c:ext xmlns:c16="http://schemas.microsoft.com/office/drawing/2014/chart" uri="{C3380CC4-5D6E-409C-BE32-E72D297353CC}">
              <c16:uniqueId val="{00000002-B4A8-B647-ADA9-449F250A35C1}"/>
            </c:ext>
          </c:extLst>
        </c:ser>
        <c:ser>
          <c:idx val="3"/>
          <c:order val="3"/>
          <c:tx>
            <c:strRef>
              <c:f>'Specific Analysis&amp;Graphs'!$A$92</c:f>
              <c:strCache>
                <c:ptCount val="1"/>
                <c:pt idx="0">
                  <c:v>AU</c:v>
                </c:pt>
              </c:strCache>
            </c:strRef>
          </c:tx>
          <c:spPr>
            <a:ln w="28575" cap="rnd">
              <a:solidFill>
                <a:schemeClr val="accent4"/>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Analysis&amp;Graphs'!$B$92:$AK$92</c:f>
              <c:numCache>
                <c:formatCode>General</c:formatCode>
                <c:ptCount val="36"/>
                <c:pt idx="0">
                  <c:v>0</c:v>
                </c:pt>
                <c:pt idx="1">
                  <c:v>0</c:v>
                </c:pt>
                <c:pt idx="2">
                  <c:v>0</c:v>
                </c:pt>
                <c:pt idx="3">
                  <c:v>1</c:v>
                </c:pt>
                <c:pt idx="4">
                  <c:v>1</c:v>
                </c:pt>
                <c:pt idx="5">
                  <c:v>0</c:v>
                </c:pt>
                <c:pt idx="6">
                  <c:v>0</c:v>
                </c:pt>
                <c:pt idx="7">
                  <c:v>0</c:v>
                </c:pt>
                <c:pt idx="8">
                  <c:v>0</c:v>
                </c:pt>
                <c:pt idx="9">
                  <c:v>0</c:v>
                </c:pt>
                <c:pt idx="10">
                  <c:v>0</c:v>
                </c:pt>
                <c:pt idx="11">
                  <c:v>0</c:v>
                </c:pt>
                <c:pt idx="12">
                  <c:v>0</c:v>
                </c:pt>
                <c:pt idx="13">
                  <c:v>0</c:v>
                </c:pt>
                <c:pt idx="14">
                  <c:v>0</c:v>
                </c:pt>
                <c:pt idx="15">
                  <c:v>7</c:v>
                </c:pt>
                <c:pt idx="16">
                  <c:v>33</c:v>
                </c:pt>
                <c:pt idx="17">
                  <c:v>12</c:v>
                </c:pt>
                <c:pt idx="18">
                  <c:v>1</c:v>
                </c:pt>
                <c:pt idx="19">
                  <c:v>0</c:v>
                </c:pt>
                <c:pt idx="20">
                  <c:v>0</c:v>
                </c:pt>
                <c:pt idx="21">
                  <c:v>1</c:v>
                </c:pt>
                <c:pt idx="22">
                  <c:v>3</c:v>
                </c:pt>
                <c:pt idx="23">
                  <c:v>11</c:v>
                </c:pt>
                <c:pt idx="24">
                  <c:v>3</c:v>
                </c:pt>
                <c:pt idx="25">
                  <c:v>1</c:v>
                </c:pt>
                <c:pt idx="26">
                  <c:v>0</c:v>
                </c:pt>
                <c:pt idx="27">
                  <c:v>13</c:v>
                </c:pt>
                <c:pt idx="28">
                  <c:v>0</c:v>
                </c:pt>
                <c:pt idx="29">
                  <c:v>0</c:v>
                </c:pt>
                <c:pt idx="30">
                  <c:v>1</c:v>
                </c:pt>
                <c:pt idx="31">
                  <c:v>1</c:v>
                </c:pt>
                <c:pt idx="32">
                  <c:v>12</c:v>
                </c:pt>
                <c:pt idx="33">
                  <c:v>11</c:v>
                </c:pt>
                <c:pt idx="34">
                  <c:v>3</c:v>
                </c:pt>
                <c:pt idx="35">
                  <c:v>0</c:v>
                </c:pt>
              </c:numCache>
            </c:numRef>
          </c:val>
          <c:smooth val="0"/>
          <c:extLst>
            <c:ext xmlns:c16="http://schemas.microsoft.com/office/drawing/2014/chart" uri="{C3380CC4-5D6E-409C-BE32-E72D297353CC}">
              <c16:uniqueId val="{00000003-B4A8-B647-ADA9-449F250A35C1}"/>
            </c:ext>
          </c:extLst>
        </c:ser>
        <c:dLbls>
          <c:showLegendKey val="0"/>
          <c:showVal val="0"/>
          <c:showCatName val="0"/>
          <c:showSerName val="0"/>
          <c:showPercent val="0"/>
          <c:showBubbleSize val="0"/>
        </c:dLbls>
        <c:smooth val="0"/>
        <c:axId val="1962301727"/>
        <c:axId val="1943646559"/>
      </c:lineChart>
      <c:catAx>
        <c:axId val="196230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646559"/>
        <c:crosses val="autoZero"/>
        <c:auto val="1"/>
        <c:lblAlgn val="ctr"/>
        <c:lblOffset val="100"/>
        <c:noMultiLvlLbl val="0"/>
      </c:catAx>
      <c:valAx>
        <c:axId val="1943646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Mediation Activity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'Specific Analysis&amp;Graphs'!$B$125</c:f>
              <c:strCache>
                <c:ptCount val="1"/>
                <c:pt idx="0">
                  <c:v>good offices</c:v>
                </c:pt>
              </c:strCache>
            </c:strRef>
          </c:tx>
          <c:spPr>
            <a:solidFill>
              <a:schemeClr val="accent1"/>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Analysis&amp;Graphs'!$B$126:$B$146</c:f>
              <c:numCache>
                <c:formatCode>General</c:formatCode>
                <c:ptCount val="21"/>
                <c:pt idx="0">
                  <c:v>7</c:v>
                </c:pt>
                <c:pt idx="1">
                  <c:v>14</c:v>
                </c:pt>
                <c:pt idx="2">
                  <c:v>3</c:v>
                </c:pt>
                <c:pt idx="3">
                  <c:v>10</c:v>
                </c:pt>
                <c:pt idx="4">
                  <c:v>6</c:v>
                </c:pt>
                <c:pt idx="5">
                  <c:v>8</c:v>
                </c:pt>
                <c:pt idx="6">
                  <c:v>3</c:v>
                </c:pt>
                <c:pt idx="7">
                  <c:v>0</c:v>
                </c:pt>
                <c:pt idx="8">
                  <c:v>9</c:v>
                </c:pt>
                <c:pt idx="9">
                  <c:v>4</c:v>
                </c:pt>
                <c:pt idx="10">
                  <c:v>2</c:v>
                </c:pt>
                <c:pt idx="11">
                  <c:v>0</c:v>
                </c:pt>
                <c:pt idx="12">
                  <c:v>2</c:v>
                </c:pt>
                <c:pt idx="13">
                  <c:v>6</c:v>
                </c:pt>
                <c:pt idx="14">
                  <c:v>1</c:v>
                </c:pt>
                <c:pt idx="15">
                  <c:v>1</c:v>
                </c:pt>
                <c:pt idx="16">
                  <c:v>0</c:v>
                </c:pt>
                <c:pt idx="17">
                  <c:v>1</c:v>
                </c:pt>
                <c:pt idx="18">
                  <c:v>2</c:v>
                </c:pt>
                <c:pt idx="19">
                  <c:v>8</c:v>
                </c:pt>
                <c:pt idx="20">
                  <c:v>1</c:v>
                </c:pt>
              </c:numCache>
            </c:numRef>
          </c:val>
          <c:extLst>
            <c:ext xmlns:c16="http://schemas.microsoft.com/office/drawing/2014/chart" uri="{C3380CC4-5D6E-409C-BE32-E72D297353CC}">
              <c16:uniqueId val="{00000000-AA40-9044-86FC-A526945A85F9}"/>
            </c:ext>
          </c:extLst>
        </c:ser>
        <c:ser>
          <c:idx val="1"/>
          <c:order val="1"/>
          <c:tx>
            <c:strRef>
              <c:f>'Specific Analysis&amp;Graphs'!$C$125</c:f>
              <c:strCache>
                <c:ptCount val="1"/>
                <c:pt idx="0">
                  <c:v>mediation</c:v>
                </c:pt>
              </c:strCache>
            </c:strRef>
          </c:tx>
          <c:spPr>
            <a:solidFill>
              <a:schemeClr val="accent2"/>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Analysis&amp;Graphs'!$C$126:$C$146</c:f>
              <c:numCache>
                <c:formatCode>General</c:formatCode>
                <c:ptCount val="21"/>
                <c:pt idx="0">
                  <c:v>55</c:v>
                </c:pt>
                <c:pt idx="1">
                  <c:v>34</c:v>
                </c:pt>
                <c:pt idx="2">
                  <c:v>1</c:v>
                </c:pt>
                <c:pt idx="3">
                  <c:v>49</c:v>
                </c:pt>
                <c:pt idx="4">
                  <c:v>48</c:v>
                </c:pt>
                <c:pt idx="5">
                  <c:v>56</c:v>
                </c:pt>
                <c:pt idx="6">
                  <c:v>6</c:v>
                </c:pt>
                <c:pt idx="7">
                  <c:v>0</c:v>
                </c:pt>
                <c:pt idx="8">
                  <c:v>27</c:v>
                </c:pt>
                <c:pt idx="9">
                  <c:v>11</c:v>
                </c:pt>
                <c:pt idx="10">
                  <c:v>2</c:v>
                </c:pt>
                <c:pt idx="11">
                  <c:v>2</c:v>
                </c:pt>
                <c:pt idx="12">
                  <c:v>6</c:v>
                </c:pt>
                <c:pt idx="13">
                  <c:v>20</c:v>
                </c:pt>
                <c:pt idx="14">
                  <c:v>2</c:v>
                </c:pt>
                <c:pt idx="15">
                  <c:v>1</c:v>
                </c:pt>
                <c:pt idx="16">
                  <c:v>1</c:v>
                </c:pt>
                <c:pt idx="17">
                  <c:v>0</c:v>
                </c:pt>
                <c:pt idx="18">
                  <c:v>1</c:v>
                </c:pt>
                <c:pt idx="19">
                  <c:v>12</c:v>
                </c:pt>
                <c:pt idx="20">
                  <c:v>0</c:v>
                </c:pt>
              </c:numCache>
            </c:numRef>
          </c:val>
          <c:extLst>
            <c:ext xmlns:c16="http://schemas.microsoft.com/office/drawing/2014/chart" uri="{C3380CC4-5D6E-409C-BE32-E72D297353CC}">
              <c16:uniqueId val="{00000001-AA40-9044-86FC-A526945A85F9}"/>
            </c:ext>
          </c:extLst>
        </c:ser>
        <c:ser>
          <c:idx val="2"/>
          <c:order val="2"/>
          <c:tx>
            <c:strRef>
              <c:f>'Specific Analysis&amp;Graphs'!$D$125</c:f>
              <c:strCache>
                <c:ptCount val="1"/>
                <c:pt idx="0">
                  <c:v>hosting talks</c:v>
                </c:pt>
              </c:strCache>
            </c:strRef>
          </c:tx>
          <c:spPr>
            <a:solidFill>
              <a:schemeClr val="accent3"/>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Analysis&amp;Graphs'!$D$126:$D$146</c:f>
              <c:numCache>
                <c:formatCode>General</c:formatCode>
                <c:ptCount val="21"/>
                <c:pt idx="0">
                  <c:v>26</c:v>
                </c:pt>
                <c:pt idx="1">
                  <c:v>3</c:v>
                </c:pt>
                <c:pt idx="2">
                  <c:v>1</c:v>
                </c:pt>
                <c:pt idx="3">
                  <c:v>33</c:v>
                </c:pt>
                <c:pt idx="4">
                  <c:v>1</c:v>
                </c:pt>
                <c:pt idx="5">
                  <c:v>4</c:v>
                </c:pt>
                <c:pt idx="6">
                  <c:v>6</c:v>
                </c:pt>
                <c:pt idx="7">
                  <c:v>0</c:v>
                </c:pt>
                <c:pt idx="8">
                  <c:v>0</c:v>
                </c:pt>
                <c:pt idx="9">
                  <c:v>11</c:v>
                </c:pt>
                <c:pt idx="10">
                  <c:v>1</c:v>
                </c:pt>
                <c:pt idx="11">
                  <c:v>1</c:v>
                </c:pt>
                <c:pt idx="12">
                  <c:v>7</c:v>
                </c:pt>
                <c:pt idx="13">
                  <c:v>8</c:v>
                </c:pt>
                <c:pt idx="14">
                  <c:v>0</c:v>
                </c:pt>
                <c:pt idx="15">
                  <c:v>0</c:v>
                </c:pt>
                <c:pt idx="16">
                  <c:v>0</c:v>
                </c:pt>
                <c:pt idx="17">
                  <c:v>0</c:v>
                </c:pt>
                <c:pt idx="18">
                  <c:v>0</c:v>
                </c:pt>
                <c:pt idx="19">
                  <c:v>15</c:v>
                </c:pt>
                <c:pt idx="20">
                  <c:v>0</c:v>
                </c:pt>
              </c:numCache>
            </c:numRef>
          </c:val>
          <c:extLst>
            <c:ext xmlns:c16="http://schemas.microsoft.com/office/drawing/2014/chart" uri="{C3380CC4-5D6E-409C-BE32-E72D297353CC}">
              <c16:uniqueId val="{00000002-AA40-9044-86FC-A526945A85F9}"/>
            </c:ext>
          </c:extLst>
        </c:ser>
        <c:ser>
          <c:idx val="3"/>
          <c:order val="3"/>
          <c:tx>
            <c:strRef>
              <c:f>'Specific Analysis&amp;Graphs'!$E$125</c:f>
              <c:strCache>
                <c:ptCount val="1"/>
                <c:pt idx="0">
                  <c:v>negotiating and drafting</c:v>
                </c:pt>
              </c:strCache>
            </c:strRef>
          </c:tx>
          <c:spPr>
            <a:solidFill>
              <a:schemeClr val="accent4"/>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Analysis&amp;Graphs'!$E$126:$E$146</c:f>
              <c:numCache>
                <c:formatCode>General</c:formatCode>
                <c:ptCount val="21"/>
                <c:pt idx="0">
                  <c:v>21</c:v>
                </c:pt>
                <c:pt idx="1">
                  <c:v>22</c:v>
                </c:pt>
                <c:pt idx="2">
                  <c:v>1</c:v>
                </c:pt>
                <c:pt idx="3">
                  <c:v>19</c:v>
                </c:pt>
                <c:pt idx="4">
                  <c:v>15</c:v>
                </c:pt>
                <c:pt idx="5">
                  <c:v>16</c:v>
                </c:pt>
                <c:pt idx="6">
                  <c:v>8</c:v>
                </c:pt>
                <c:pt idx="7">
                  <c:v>1</c:v>
                </c:pt>
                <c:pt idx="8">
                  <c:v>18</c:v>
                </c:pt>
                <c:pt idx="9">
                  <c:v>4</c:v>
                </c:pt>
                <c:pt idx="10">
                  <c:v>6</c:v>
                </c:pt>
                <c:pt idx="11">
                  <c:v>3</c:v>
                </c:pt>
                <c:pt idx="12">
                  <c:v>5</c:v>
                </c:pt>
                <c:pt idx="13">
                  <c:v>6</c:v>
                </c:pt>
                <c:pt idx="14">
                  <c:v>6</c:v>
                </c:pt>
                <c:pt idx="15">
                  <c:v>3</c:v>
                </c:pt>
                <c:pt idx="16">
                  <c:v>3</c:v>
                </c:pt>
                <c:pt idx="17">
                  <c:v>2</c:v>
                </c:pt>
                <c:pt idx="18">
                  <c:v>5</c:v>
                </c:pt>
                <c:pt idx="19">
                  <c:v>11</c:v>
                </c:pt>
                <c:pt idx="20">
                  <c:v>4</c:v>
                </c:pt>
              </c:numCache>
            </c:numRef>
          </c:val>
          <c:extLst>
            <c:ext xmlns:c16="http://schemas.microsoft.com/office/drawing/2014/chart" uri="{C3380CC4-5D6E-409C-BE32-E72D297353CC}">
              <c16:uniqueId val="{00000003-AA40-9044-86FC-A526945A85F9}"/>
            </c:ext>
          </c:extLst>
        </c:ser>
        <c:ser>
          <c:idx val="4"/>
          <c:order val="4"/>
          <c:tx>
            <c:strRef>
              <c:f>'Specific Analysis&amp;Graphs'!$F$125</c:f>
              <c:strCache>
                <c:ptCount val="1"/>
                <c:pt idx="0">
                  <c:v>manipulating</c:v>
                </c:pt>
              </c:strCache>
            </c:strRef>
          </c:tx>
          <c:spPr>
            <a:solidFill>
              <a:schemeClr val="accent5"/>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Analysis&amp;Graphs'!$F$126:$F$146</c:f>
              <c:numCache>
                <c:formatCode>General</c:formatCode>
                <c:ptCount val="21"/>
                <c:pt idx="0">
                  <c:v>3</c:v>
                </c:pt>
                <c:pt idx="1">
                  <c:v>11</c:v>
                </c:pt>
                <c:pt idx="2">
                  <c:v>0</c:v>
                </c:pt>
                <c:pt idx="3">
                  <c:v>3</c:v>
                </c:pt>
                <c:pt idx="4">
                  <c:v>1</c:v>
                </c:pt>
                <c:pt idx="5">
                  <c:v>2</c:v>
                </c:pt>
                <c:pt idx="6">
                  <c:v>1</c:v>
                </c:pt>
                <c:pt idx="7">
                  <c:v>0</c:v>
                </c:pt>
                <c:pt idx="8">
                  <c:v>8</c:v>
                </c:pt>
                <c:pt idx="9">
                  <c:v>0</c:v>
                </c:pt>
                <c:pt idx="10">
                  <c:v>2</c:v>
                </c:pt>
                <c:pt idx="11">
                  <c:v>0</c:v>
                </c:pt>
                <c:pt idx="12">
                  <c:v>2</c:v>
                </c:pt>
                <c:pt idx="13">
                  <c:v>2</c:v>
                </c:pt>
                <c:pt idx="14">
                  <c:v>2</c:v>
                </c:pt>
                <c:pt idx="15">
                  <c:v>1</c:v>
                </c:pt>
                <c:pt idx="16">
                  <c:v>1</c:v>
                </c:pt>
                <c:pt idx="17">
                  <c:v>0</c:v>
                </c:pt>
                <c:pt idx="18">
                  <c:v>3</c:v>
                </c:pt>
                <c:pt idx="19">
                  <c:v>1</c:v>
                </c:pt>
                <c:pt idx="20">
                  <c:v>0</c:v>
                </c:pt>
              </c:numCache>
            </c:numRef>
          </c:val>
          <c:extLst>
            <c:ext xmlns:c16="http://schemas.microsoft.com/office/drawing/2014/chart" uri="{C3380CC4-5D6E-409C-BE32-E72D297353CC}">
              <c16:uniqueId val="{00000004-AA40-9044-86FC-A526945A85F9}"/>
            </c:ext>
          </c:extLst>
        </c:ser>
        <c:ser>
          <c:idx val="5"/>
          <c:order val="5"/>
          <c:tx>
            <c:strRef>
              <c:f>'Specific Analysis&amp;Graphs'!$G$125</c:f>
              <c:strCache>
                <c:ptCount val="1"/>
                <c:pt idx="0">
                  <c:v>humanitarian</c:v>
                </c:pt>
              </c:strCache>
            </c:strRef>
          </c:tx>
          <c:spPr>
            <a:solidFill>
              <a:schemeClr val="accent6"/>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Analysis&amp;Graphs'!$G$126:$G$146</c:f>
              <c:numCache>
                <c:formatCode>General</c:formatCode>
                <c:ptCount val="21"/>
                <c:pt idx="0">
                  <c:v>2</c:v>
                </c:pt>
                <c:pt idx="1">
                  <c:v>4</c:v>
                </c:pt>
                <c:pt idx="2">
                  <c:v>0</c:v>
                </c:pt>
                <c:pt idx="3">
                  <c:v>2</c:v>
                </c:pt>
                <c:pt idx="4">
                  <c:v>1</c:v>
                </c:pt>
                <c:pt idx="5">
                  <c:v>1</c:v>
                </c:pt>
                <c:pt idx="6">
                  <c:v>1</c:v>
                </c:pt>
                <c:pt idx="7">
                  <c:v>0</c:v>
                </c:pt>
                <c:pt idx="8">
                  <c:v>3</c:v>
                </c:pt>
                <c:pt idx="9">
                  <c:v>2</c:v>
                </c:pt>
                <c:pt idx="10">
                  <c:v>2</c:v>
                </c:pt>
                <c:pt idx="11">
                  <c:v>1</c:v>
                </c:pt>
                <c:pt idx="12">
                  <c:v>2</c:v>
                </c:pt>
                <c:pt idx="13">
                  <c:v>0</c:v>
                </c:pt>
                <c:pt idx="14">
                  <c:v>2</c:v>
                </c:pt>
                <c:pt idx="15">
                  <c:v>0</c:v>
                </c:pt>
                <c:pt idx="16">
                  <c:v>0</c:v>
                </c:pt>
                <c:pt idx="17">
                  <c:v>0</c:v>
                </c:pt>
                <c:pt idx="18">
                  <c:v>1</c:v>
                </c:pt>
                <c:pt idx="19">
                  <c:v>1</c:v>
                </c:pt>
                <c:pt idx="20">
                  <c:v>1</c:v>
                </c:pt>
              </c:numCache>
            </c:numRef>
          </c:val>
          <c:extLst>
            <c:ext xmlns:c16="http://schemas.microsoft.com/office/drawing/2014/chart" uri="{C3380CC4-5D6E-409C-BE32-E72D297353CC}">
              <c16:uniqueId val="{00000005-AA40-9044-86FC-A526945A85F9}"/>
            </c:ext>
          </c:extLst>
        </c:ser>
        <c:ser>
          <c:idx val="6"/>
          <c:order val="6"/>
          <c:tx>
            <c:strRef>
              <c:f>'Specific Analysis&amp;Graphs'!$H$125</c:f>
              <c:strCache>
                <c:ptCount val="1"/>
                <c:pt idx="0">
                  <c:v>witness/party to agreement</c:v>
                </c:pt>
              </c:strCache>
            </c:strRef>
          </c:tx>
          <c:spPr>
            <a:solidFill>
              <a:schemeClr val="accent1">
                <a:lumMod val="60000"/>
              </a:schemeClr>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Analysis&amp;Graphs'!$H$126:$H$146</c:f>
              <c:numCache>
                <c:formatCode>General</c:formatCode>
                <c:ptCount val="21"/>
                <c:pt idx="0">
                  <c:v>9</c:v>
                </c:pt>
                <c:pt idx="1">
                  <c:v>12</c:v>
                </c:pt>
                <c:pt idx="2">
                  <c:v>3</c:v>
                </c:pt>
                <c:pt idx="3">
                  <c:v>5</c:v>
                </c:pt>
                <c:pt idx="4">
                  <c:v>5</c:v>
                </c:pt>
                <c:pt idx="5">
                  <c:v>8</c:v>
                </c:pt>
                <c:pt idx="6">
                  <c:v>5</c:v>
                </c:pt>
                <c:pt idx="7">
                  <c:v>0</c:v>
                </c:pt>
                <c:pt idx="8">
                  <c:v>11</c:v>
                </c:pt>
                <c:pt idx="9">
                  <c:v>5</c:v>
                </c:pt>
                <c:pt idx="10">
                  <c:v>2</c:v>
                </c:pt>
                <c:pt idx="11">
                  <c:v>3</c:v>
                </c:pt>
                <c:pt idx="12">
                  <c:v>5</c:v>
                </c:pt>
                <c:pt idx="13">
                  <c:v>5</c:v>
                </c:pt>
                <c:pt idx="14">
                  <c:v>5</c:v>
                </c:pt>
                <c:pt idx="15">
                  <c:v>2</c:v>
                </c:pt>
                <c:pt idx="16">
                  <c:v>2</c:v>
                </c:pt>
                <c:pt idx="17">
                  <c:v>3</c:v>
                </c:pt>
                <c:pt idx="18">
                  <c:v>2</c:v>
                </c:pt>
                <c:pt idx="19">
                  <c:v>7</c:v>
                </c:pt>
                <c:pt idx="20">
                  <c:v>2</c:v>
                </c:pt>
              </c:numCache>
            </c:numRef>
          </c:val>
          <c:extLst>
            <c:ext xmlns:c16="http://schemas.microsoft.com/office/drawing/2014/chart" uri="{C3380CC4-5D6E-409C-BE32-E72D297353CC}">
              <c16:uniqueId val="{00000006-AA40-9044-86FC-A526945A85F9}"/>
            </c:ext>
          </c:extLst>
        </c:ser>
        <c:ser>
          <c:idx val="7"/>
          <c:order val="7"/>
          <c:tx>
            <c:strRef>
              <c:f>'Specific Analysis&amp;Graphs'!$I$125</c:f>
              <c:strCache>
                <c:ptCount val="1"/>
                <c:pt idx="0">
                  <c:v>other</c:v>
                </c:pt>
              </c:strCache>
            </c:strRef>
          </c:tx>
          <c:spPr>
            <a:solidFill>
              <a:schemeClr val="accent2">
                <a:lumMod val="60000"/>
              </a:schemeClr>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Analysis&amp;Graphs'!$I$126:$I$146</c:f>
              <c:numCache>
                <c:formatCode>General</c:formatCode>
                <c:ptCount val="21"/>
                <c:pt idx="0">
                  <c:v>4</c:v>
                </c:pt>
                <c:pt idx="1">
                  <c:v>9</c:v>
                </c:pt>
                <c:pt idx="2">
                  <c:v>0</c:v>
                </c:pt>
                <c:pt idx="3">
                  <c:v>5</c:v>
                </c:pt>
                <c:pt idx="4">
                  <c:v>3</c:v>
                </c:pt>
                <c:pt idx="5">
                  <c:v>4</c:v>
                </c:pt>
                <c:pt idx="6">
                  <c:v>2</c:v>
                </c:pt>
                <c:pt idx="7">
                  <c:v>0</c:v>
                </c:pt>
                <c:pt idx="8">
                  <c:v>7</c:v>
                </c:pt>
                <c:pt idx="9">
                  <c:v>1</c:v>
                </c:pt>
                <c:pt idx="10">
                  <c:v>5</c:v>
                </c:pt>
                <c:pt idx="11">
                  <c:v>0</c:v>
                </c:pt>
                <c:pt idx="12">
                  <c:v>4</c:v>
                </c:pt>
                <c:pt idx="13">
                  <c:v>4</c:v>
                </c:pt>
                <c:pt idx="14">
                  <c:v>2</c:v>
                </c:pt>
                <c:pt idx="15">
                  <c:v>2</c:v>
                </c:pt>
                <c:pt idx="16">
                  <c:v>1</c:v>
                </c:pt>
                <c:pt idx="17">
                  <c:v>0</c:v>
                </c:pt>
                <c:pt idx="18">
                  <c:v>6</c:v>
                </c:pt>
                <c:pt idx="19">
                  <c:v>1</c:v>
                </c:pt>
                <c:pt idx="20">
                  <c:v>1</c:v>
                </c:pt>
              </c:numCache>
            </c:numRef>
          </c:val>
          <c:extLst>
            <c:ext xmlns:c16="http://schemas.microsoft.com/office/drawing/2014/chart" uri="{C3380CC4-5D6E-409C-BE32-E72D297353CC}">
              <c16:uniqueId val="{00000007-AA40-9044-86FC-A526945A85F9}"/>
            </c:ext>
          </c:extLst>
        </c:ser>
        <c:dLbls>
          <c:showLegendKey val="0"/>
          <c:showVal val="0"/>
          <c:showCatName val="0"/>
          <c:showSerName val="0"/>
          <c:showPercent val="0"/>
          <c:showBubbleSize val="0"/>
        </c:dLbls>
        <c:gapWidth val="150"/>
        <c:overlap val="100"/>
        <c:axId val="1974564959"/>
        <c:axId val="1975141519"/>
      </c:barChart>
      <c:catAx>
        <c:axId val="1974564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141519"/>
        <c:crosses val="autoZero"/>
        <c:auto val="1"/>
        <c:lblAlgn val="ctr"/>
        <c:lblOffset val="100"/>
        <c:noMultiLvlLbl val="0"/>
      </c:catAx>
      <c:valAx>
        <c:axId val="19751415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564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Prevalence of Mediation Activity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'Specific Analysis&amp;Graphs'!$B$125</c:f>
              <c:strCache>
                <c:ptCount val="1"/>
                <c:pt idx="0">
                  <c:v>good offices</c:v>
                </c:pt>
              </c:strCache>
            </c:strRef>
          </c:tx>
          <c:spPr>
            <a:solidFill>
              <a:schemeClr val="accent1"/>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Analysis&amp;Graphs'!$B$126:$B$146</c:f>
              <c:numCache>
                <c:formatCode>General</c:formatCode>
                <c:ptCount val="21"/>
                <c:pt idx="0">
                  <c:v>7</c:v>
                </c:pt>
                <c:pt idx="1">
                  <c:v>14</c:v>
                </c:pt>
                <c:pt idx="2">
                  <c:v>3</c:v>
                </c:pt>
                <c:pt idx="3">
                  <c:v>10</c:v>
                </c:pt>
                <c:pt idx="4">
                  <c:v>6</c:v>
                </c:pt>
                <c:pt idx="5">
                  <c:v>8</c:v>
                </c:pt>
                <c:pt idx="6">
                  <c:v>3</c:v>
                </c:pt>
                <c:pt idx="7">
                  <c:v>0</c:v>
                </c:pt>
                <c:pt idx="8">
                  <c:v>9</c:v>
                </c:pt>
                <c:pt idx="9">
                  <c:v>4</c:v>
                </c:pt>
                <c:pt idx="10">
                  <c:v>2</c:v>
                </c:pt>
                <c:pt idx="11">
                  <c:v>0</c:v>
                </c:pt>
                <c:pt idx="12">
                  <c:v>2</c:v>
                </c:pt>
                <c:pt idx="13">
                  <c:v>6</c:v>
                </c:pt>
                <c:pt idx="14">
                  <c:v>1</c:v>
                </c:pt>
                <c:pt idx="15">
                  <c:v>1</c:v>
                </c:pt>
                <c:pt idx="16">
                  <c:v>0</c:v>
                </c:pt>
                <c:pt idx="17">
                  <c:v>1</c:v>
                </c:pt>
                <c:pt idx="18">
                  <c:v>2</c:v>
                </c:pt>
                <c:pt idx="19">
                  <c:v>8</c:v>
                </c:pt>
                <c:pt idx="20">
                  <c:v>1</c:v>
                </c:pt>
              </c:numCache>
            </c:numRef>
          </c:val>
          <c:extLst>
            <c:ext xmlns:c16="http://schemas.microsoft.com/office/drawing/2014/chart" uri="{C3380CC4-5D6E-409C-BE32-E72D297353CC}">
              <c16:uniqueId val="{00000000-7E19-904F-9AAA-6E0751ED3610}"/>
            </c:ext>
          </c:extLst>
        </c:ser>
        <c:ser>
          <c:idx val="1"/>
          <c:order val="1"/>
          <c:tx>
            <c:strRef>
              <c:f>'Specific Analysis&amp;Graphs'!$C$125</c:f>
              <c:strCache>
                <c:ptCount val="1"/>
                <c:pt idx="0">
                  <c:v>mediation</c:v>
                </c:pt>
              </c:strCache>
            </c:strRef>
          </c:tx>
          <c:spPr>
            <a:solidFill>
              <a:schemeClr val="accent2"/>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Analysis&amp;Graphs'!$C$126:$C$146</c:f>
              <c:numCache>
                <c:formatCode>General</c:formatCode>
                <c:ptCount val="21"/>
                <c:pt idx="0">
                  <c:v>55</c:v>
                </c:pt>
                <c:pt idx="1">
                  <c:v>34</c:v>
                </c:pt>
                <c:pt idx="2">
                  <c:v>1</c:v>
                </c:pt>
                <c:pt idx="3">
                  <c:v>49</c:v>
                </c:pt>
                <c:pt idx="4">
                  <c:v>48</c:v>
                </c:pt>
                <c:pt idx="5">
                  <c:v>56</c:v>
                </c:pt>
                <c:pt idx="6">
                  <c:v>6</c:v>
                </c:pt>
                <c:pt idx="7">
                  <c:v>0</c:v>
                </c:pt>
                <c:pt idx="8">
                  <c:v>27</c:v>
                </c:pt>
                <c:pt idx="9">
                  <c:v>11</c:v>
                </c:pt>
                <c:pt idx="10">
                  <c:v>2</c:v>
                </c:pt>
                <c:pt idx="11">
                  <c:v>2</c:v>
                </c:pt>
                <c:pt idx="12">
                  <c:v>6</c:v>
                </c:pt>
                <c:pt idx="13">
                  <c:v>20</c:v>
                </c:pt>
                <c:pt idx="14">
                  <c:v>2</c:v>
                </c:pt>
                <c:pt idx="15">
                  <c:v>1</c:v>
                </c:pt>
                <c:pt idx="16">
                  <c:v>1</c:v>
                </c:pt>
                <c:pt idx="17">
                  <c:v>0</c:v>
                </c:pt>
                <c:pt idx="18">
                  <c:v>1</c:v>
                </c:pt>
                <c:pt idx="19">
                  <c:v>12</c:v>
                </c:pt>
                <c:pt idx="20">
                  <c:v>0</c:v>
                </c:pt>
              </c:numCache>
            </c:numRef>
          </c:val>
          <c:extLst>
            <c:ext xmlns:c16="http://schemas.microsoft.com/office/drawing/2014/chart" uri="{C3380CC4-5D6E-409C-BE32-E72D297353CC}">
              <c16:uniqueId val="{00000001-7E19-904F-9AAA-6E0751ED3610}"/>
            </c:ext>
          </c:extLst>
        </c:ser>
        <c:ser>
          <c:idx val="2"/>
          <c:order val="2"/>
          <c:tx>
            <c:strRef>
              <c:f>'Specific Analysis&amp;Graphs'!$D$125</c:f>
              <c:strCache>
                <c:ptCount val="1"/>
                <c:pt idx="0">
                  <c:v>hosting talks</c:v>
                </c:pt>
              </c:strCache>
            </c:strRef>
          </c:tx>
          <c:spPr>
            <a:solidFill>
              <a:schemeClr val="accent3"/>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Analysis&amp;Graphs'!$D$126:$D$146</c:f>
              <c:numCache>
                <c:formatCode>General</c:formatCode>
                <c:ptCount val="21"/>
                <c:pt idx="0">
                  <c:v>26</c:v>
                </c:pt>
                <c:pt idx="1">
                  <c:v>3</c:v>
                </c:pt>
                <c:pt idx="2">
                  <c:v>1</c:v>
                </c:pt>
                <c:pt idx="3">
                  <c:v>33</c:v>
                </c:pt>
                <c:pt idx="4">
                  <c:v>1</c:v>
                </c:pt>
                <c:pt idx="5">
                  <c:v>4</c:v>
                </c:pt>
                <c:pt idx="6">
                  <c:v>6</c:v>
                </c:pt>
                <c:pt idx="7">
                  <c:v>0</c:v>
                </c:pt>
                <c:pt idx="8">
                  <c:v>0</c:v>
                </c:pt>
                <c:pt idx="9">
                  <c:v>11</c:v>
                </c:pt>
                <c:pt idx="10">
                  <c:v>1</c:v>
                </c:pt>
                <c:pt idx="11">
                  <c:v>1</c:v>
                </c:pt>
                <c:pt idx="12">
                  <c:v>7</c:v>
                </c:pt>
                <c:pt idx="13">
                  <c:v>8</c:v>
                </c:pt>
                <c:pt idx="14">
                  <c:v>0</c:v>
                </c:pt>
                <c:pt idx="15">
                  <c:v>0</c:v>
                </c:pt>
                <c:pt idx="16">
                  <c:v>0</c:v>
                </c:pt>
                <c:pt idx="17">
                  <c:v>0</c:v>
                </c:pt>
                <c:pt idx="18">
                  <c:v>0</c:v>
                </c:pt>
                <c:pt idx="19">
                  <c:v>15</c:v>
                </c:pt>
                <c:pt idx="20">
                  <c:v>0</c:v>
                </c:pt>
              </c:numCache>
            </c:numRef>
          </c:val>
          <c:extLst>
            <c:ext xmlns:c16="http://schemas.microsoft.com/office/drawing/2014/chart" uri="{C3380CC4-5D6E-409C-BE32-E72D297353CC}">
              <c16:uniqueId val="{00000002-7E19-904F-9AAA-6E0751ED3610}"/>
            </c:ext>
          </c:extLst>
        </c:ser>
        <c:ser>
          <c:idx val="3"/>
          <c:order val="3"/>
          <c:tx>
            <c:strRef>
              <c:f>'Specific Analysis&amp;Graphs'!$E$125</c:f>
              <c:strCache>
                <c:ptCount val="1"/>
                <c:pt idx="0">
                  <c:v>negotiating and drafting</c:v>
                </c:pt>
              </c:strCache>
            </c:strRef>
          </c:tx>
          <c:spPr>
            <a:solidFill>
              <a:schemeClr val="accent4"/>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Analysis&amp;Graphs'!$E$126:$E$146</c:f>
              <c:numCache>
                <c:formatCode>General</c:formatCode>
                <c:ptCount val="21"/>
                <c:pt idx="0">
                  <c:v>21</c:v>
                </c:pt>
                <c:pt idx="1">
                  <c:v>22</c:v>
                </c:pt>
                <c:pt idx="2">
                  <c:v>1</c:v>
                </c:pt>
                <c:pt idx="3">
                  <c:v>19</c:v>
                </c:pt>
                <c:pt idx="4">
                  <c:v>15</c:v>
                </c:pt>
                <c:pt idx="5">
                  <c:v>16</c:v>
                </c:pt>
                <c:pt idx="6">
                  <c:v>8</c:v>
                </c:pt>
                <c:pt idx="7">
                  <c:v>1</c:v>
                </c:pt>
                <c:pt idx="8">
                  <c:v>18</c:v>
                </c:pt>
                <c:pt idx="9">
                  <c:v>4</c:v>
                </c:pt>
                <c:pt idx="10">
                  <c:v>6</c:v>
                </c:pt>
                <c:pt idx="11">
                  <c:v>3</c:v>
                </c:pt>
                <c:pt idx="12">
                  <c:v>5</c:v>
                </c:pt>
                <c:pt idx="13">
                  <c:v>6</c:v>
                </c:pt>
                <c:pt idx="14">
                  <c:v>6</c:v>
                </c:pt>
                <c:pt idx="15">
                  <c:v>3</c:v>
                </c:pt>
                <c:pt idx="16">
                  <c:v>3</c:v>
                </c:pt>
                <c:pt idx="17">
                  <c:v>2</c:v>
                </c:pt>
                <c:pt idx="18">
                  <c:v>5</c:v>
                </c:pt>
                <c:pt idx="19">
                  <c:v>11</c:v>
                </c:pt>
                <c:pt idx="20">
                  <c:v>4</c:v>
                </c:pt>
              </c:numCache>
            </c:numRef>
          </c:val>
          <c:extLst>
            <c:ext xmlns:c16="http://schemas.microsoft.com/office/drawing/2014/chart" uri="{C3380CC4-5D6E-409C-BE32-E72D297353CC}">
              <c16:uniqueId val="{00000003-7E19-904F-9AAA-6E0751ED3610}"/>
            </c:ext>
          </c:extLst>
        </c:ser>
        <c:ser>
          <c:idx val="4"/>
          <c:order val="4"/>
          <c:tx>
            <c:strRef>
              <c:f>'Specific Analysis&amp;Graphs'!$F$125</c:f>
              <c:strCache>
                <c:ptCount val="1"/>
                <c:pt idx="0">
                  <c:v>manipulating</c:v>
                </c:pt>
              </c:strCache>
            </c:strRef>
          </c:tx>
          <c:spPr>
            <a:solidFill>
              <a:schemeClr val="accent5"/>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Analysis&amp;Graphs'!$F$126:$F$146</c:f>
              <c:numCache>
                <c:formatCode>General</c:formatCode>
                <c:ptCount val="21"/>
                <c:pt idx="0">
                  <c:v>3</c:v>
                </c:pt>
                <c:pt idx="1">
                  <c:v>11</c:v>
                </c:pt>
                <c:pt idx="2">
                  <c:v>0</c:v>
                </c:pt>
                <c:pt idx="3">
                  <c:v>3</c:v>
                </c:pt>
                <c:pt idx="4">
                  <c:v>1</c:v>
                </c:pt>
                <c:pt idx="5">
                  <c:v>2</c:v>
                </c:pt>
                <c:pt idx="6">
                  <c:v>1</c:v>
                </c:pt>
                <c:pt idx="7">
                  <c:v>0</c:v>
                </c:pt>
                <c:pt idx="8">
                  <c:v>8</c:v>
                </c:pt>
                <c:pt idx="9">
                  <c:v>0</c:v>
                </c:pt>
                <c:pt idx="10">
                  <c:v>2</c:v>
                </c:pt>
                <c:pt idx="11">
                  <c:v>0</c:v>
                </c:pt>
                <c:pt idx="12">
                  <c:v>2</c:v>
                </c:pt>
                <c:pt idx="13">
                  <c:v>2</c:v>
                </c:pt>
                <c:pt idx="14">
                  <c:v>2</c:v>
                </c:pt>
                <c:pt idx="15">
                  <c:v>1</c:v>
                </c:pt>
                <c:pt idx="16">
                  <c:v>1</c:v>
                </c:pt>
                <c:pt idx="17">
                  <c:v>0</c:v>
                </c:pt>
                <c:pt idx="18">
                  <c:v>3</c:v>
                </c:pt>
                <c:pt idx="19">
                  <c:v>1</c:v>
                </c:pt>
                <c:pt idx="20">
                  <c:v>0</c:v>
                </c:pt>
              </c:numCache>
            </c:numRef>
          </c:val>
          <c:extLst>
            <c:ext xmlns:c16="http://schemas.microsoft.com/office/drawing/2014/chart" uri="{C3380CC4-5D6E-409C-BE32-E72D297353CC}">
              <c16:uniqueId val="{00000004-7E19-904F-9AAA-6E0751ED3610}"/>
            </c:ext>
          </c:extLst>
        </c:ser>
        <c:ser>
          <c:idx val="5"/>
          <c:order val="5"/>
          <c:tx>
            <c:strRef>
              <c:f>'Specific Analysis&amp;Graphs'!$G$125</c:f>
              <c:strCache>
                <c:ptCount val="1"/>
                <c:pt idx="0">
                  <c:v>humanitarian</c:v>
                </c:pt>
              </c:strCache>
            </c:strRef>
          </c:tx>
          <c:spPr>
            <a:solidFill>
              <a:schemeClr val="accent6"/>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Analysis&amp;Graphs'!$G$126:$G$146</c:f>
              <c:numCache>
                <c:formatCode>General</c:formatCode>
                <c:ptCount val="21"/>
                <c:pt idx="0">
                  <c:v>2</c:v>
                </c:pt>
                <c:pt idx="1">
                  <c:v>4</c:v>
                </c:pt>
                <c:pt idx="2">
                  <c:v>0</c:v>
                </c:pt>
                <c:pt idx="3">
                  <c:v>2</c:v>
                </c:pt>
                <c:pt idx="4">
                  <c:v>1</c:v>
                </c:pt>
                <c:pt idx="5">
                  <c:v>1</c:v>
                </c:pt>
                <c:pt idx="6">
                  <c:v>1</c:v>
                </c:pt>
                <c:pt idx="7">
                  <c:v>0</c:v>
                </c:pt>
                <c:pt idx="8">
                  <c:v>3</c:v>
                </c:pt>
                <c:pt idx="9">
                  <c:v>2</c:v>
                </c:pt>
                <c:pt idx="10">
                  <c:v>2</c:v>
                </c:pt>
                <c:pt idx="11">
                  <c:v>1</c:v>
                </c:pt>
                <c:pt idx="12">
                  <c:v>2</c:v>
                </c:pt>
                <c:pt idx="13">
                  <c:v>0</c:v>
                </c:pt>
                <c:pt idx="14">
                  <c:v>2</c:v>
                </c:pt>
                <c:pt idx="15">
                  <c:v>0</c:v>
                </c:pt>
                <c:pt idx="16">
                  <c:v>0</c:v>
                </c:pt>
                <c:pt idx="17">
                  <c:v>0</c:v>
                </c:pt>
                <c:pt idx="18">
                  <c:v>1</c:v>
                </c:pt>
                <c:pt idx="19">
                  <c:v>1</c:v>
                </c:pt>
                <c:pt idx="20">
                  <c:v>1</c:v>
                </c:pt>
              </c:numCache>
            </c:numRef>
          </c:val>
          <c:extLst>
            <c:ext xmlns:c16="http://schemas.microsoft.com/office/drawing/2014/chart" uri="{C3380CC4-5D6E-409C-BE32-E72D297353CC}">
              <c16:uniqueId val="{00000005-7E19-904F-9AAA-6E0751ED3610}"/>
            </c:ext>
          </c:extLst>
        </c:ser>
        <c:ser>
          <c:idx val="6"/>
          <c:order val="6"/>
          <c:tx>
            <c:strRef>
              <c:f>'Specific Analysis&amp;Graphs'!$H$125</c:f>
              <c:strCache>
                <c:ptCount val="1"/>
                <c:pt idx="0">
                  <c:v>witness/party to agreement</c:v>
                </c:pt>
              </c:strCache>
            </c:strRef>
          </c:tx>
          <c:spPr>
            <a:solidFill>
              <a:schemeClr val="accent1">
                <a:lumMod val="60000"/>
              </a:schemeClr>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Analysis&amp;Graphs'!$H$126:$H$146</c:f>
              <c:numCache>
                <c:formatCode>General</c:formatCode>
                <c:ptCount val="21"/>
                <c:pt idx="0">
                  <c:v>9</c:v>
                </c:pt>
                <c:pt idx="1">
                  <c:v>12</c:v>
                </c:pt>
                <c:pt idx="2">
                  <c:v>3</c:v>
                </c:pt>
                <c:pt idx="3">
                  <c:v>5</c:v>
                </c:pt>
                <c:pt idx="4">
                  <c:v>5</c:v>
                </c:pt>
                <c:pt idx="5">
                  <c:v>8</c:v>
                </c:pt>
                <c:pt idx="6">
                  <c:v>5</c:v>
                </c:pt>
                <c:pt idx="7">
                  <c:v>0</c:v>
                </c:pt>
                <c:pt idx="8">
                  <c:v>11</c:v>
                </c:pt>
                <c:pt idx="9">
                  <c:v>5</c:v>
                </c:pt>
                <c:pt idx="10">
                  <c:v>2</c:v>
                </c:pt>
                <c:pt idx="11">
                  <c:v>3</c:v>
                </c:pt>
                <c:pt idx="12">
                  <c:v>5</c:v>
                </c:pt>
                <c:pt idx="13">
                  <c:v>5</c:v>
                </c:pt>
                <c:pt idx="14">
                  <c:v>5</c:v>
                </c:pt>
                <c:pt idx="15">
                  <c:v>2</c:v>
                </c:pt>
                <c:pt idx="16">
                  <c:v>2</c:v>
                </c:pt>
                <c:pt idx="17">
                  <c:v>3</c:v>
                </c:pt>
                <c:pt idx="18">
                  <c:v>2</c:v>
                </c:pt>
                <c:pt idx="19">
                  <c:v>7</c:v>
                </c:pt>
                <c:pt idx="20">
                  <c:v>2</c:v>
                </c:pt>
              </c:numCache>
            </c:numRef>
          </c:val>
          <c:extLst>
            <c:ext xmlns:c16="http://schemas.microsoft.com/office/drawing/2014/chart" uri="{C3380CC4-5D6E-409C-BE32-E72D297353CC}">
              <c16:uniqueId val="{00000006-7E19-904F-9AAA-6E0751ED3610}"/>
            </c:ext>
          </c:extLst>
        </c:ser>
        <c:ser>
          <c:idx val="7"/>
          <c:order val="7"/>
          <c:tx>
            <c:strRef>
              <c:f>'Specific Analysis&amp;Graphs'!$I$125</c:f>
              <c:strCache>
                <c:ptCount val="1"/>
                <c:pt idx="0">
                  <c:v>other</c:v>
                </c:pt>
              </c:strCache>
            </c:strRef>
          </c:tx>
          <c:spPr>
            <a:solidFill>
              <a:schemeClr val="accent2">
                <a:lumMod val="60000"/>
              </a:schemeClr>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Analysis&amp;Graphs'!$I$126:$I$146</c:f>
              <c:numCache>
                <c:formatCode>General</c:formatCode>
                <c:ptCount val="21"/>
                <c:pt idx="0">
                  <c:v>4</c:v>
                </c:pt>
                <c:pt idx="1">
                  <c:v>9</c:v>
                </c:pt>
                <c:pt idx="2">
                  <c:v>0</c:v>
                </c:pt>
                <c:pt idx="3">
                  <c:v>5</c:v>
                </c:pt>
                <c:pt idx="4">
                  <c:v>3</c:v>
                </c:pt>
                <c:pt idx="5">
                  <c:v>4</c:v>
                </c:pt>
                <c:pt idx="6">
                  <c:v>2</c:v>
                </c:pt>
                <c:pt idx="7">
                  <c:v>0</c:v>
                </c:pt>
                <c:pt idx="8">
                  <c:v>7</c:v>
                </c:pt>
                <c:pt idx="9">
                  <c:v>1</c:v>
                </c:pt>
                <c:pt idx="10">
                  <c:v>5</c:v>
                </c:pt>
                <c:pt idx="11">
                  <c:v>0</c:v>
                </c:pt>
                <c:pt idx="12">
                  <c:v>4</c:v>
                </c:pt>
                <c:pt idx="13">
                  <c:v>4</c:v>
                </c:pt>
                <c:pt idx="14">
                  <c:v>2</c:v>
                </c:pt>
                <c:pt idx="15">
                  <c:v>2</c:v>
                </c:pt>
                <c:pt idx="16">
                  <c:v>1</c:v>
                </c:pt>
                <c:pt idx="17">
                  <c:v>0</c:v>
                </c:pt>
                <c:pt idx="18">
                  <c:v>6</c:v>
                </c:pt>
                <c:pt idx="19">
                  <c:v>1</c:v>
                </c:pt>
                <c:pt idx="20">
                  <c:v>1</c:v>
                </c:pt>
              </c:numCache>
            </c:numRef>
          </c:val>
          <c:extLst>
            <c:ext xmlns:c16="http://schemas.microsoft.com/office/drawing/2014/chart" uri="{C3380CC4-5D6E-409C-BE32-E72D297353CC}">
              <c16:uniqueId val="{00000007-7E19-904F-9AAA-6E0751ED3610}"/>
            </c:ext>
          </c:extLst>
        </c:ser>
        <c:dLbls>
          <c:showLegendKey val="0"/>
          <c:showVal val="0"/>
          <c:showCatName val="0"/>
          <c:showSerName val="0"/>
          <c:showPercent val="0"/>
          <c:showBubbleSize val="0"/>
        </c:dLbls>
        <c:gapWidth val="150"/>
        <c:shape val="box"/>
        <c:axId val="2029523855"/>
        <c:axId val="1973311135"/>
        <c:axId val="0"/>
      </c:bar3DChart>
      <c:catAx>
        <c:axId val="2029523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Activity</a:t>
                </a:r>
                <a:r>
                  <a:rPr lang="en-GB" baseline="0"/>
                  <a:t> Type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311135"/>
        <c:crosses val="autoZero"/>
        <c:auto val="1"/>
        <c:lblAlgn val="ctr"/>
        <c:lblOffset val="100"/>
        <c:noMultiLvlLbl val="0"/>
      </c:catAx>
      <c:valAx>
        <c:axId val="1973311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Prevalence</a:t>
                </a:r>
                <a:r>
                  <a:rPr lang="en-GB" baseline="0"/>
                  <a:t> of Activity</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523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Ivolvement</a:t>
            </a:r>
            <a:r>
              <a:rPr lang="en-GB" baseline="0"/>
              <a:t> in Unilateral and Multilateral Initiatives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'Specific Analysis&amp;Graphs'!$L$125</c:f>
              <c:strCache>
                <c:ptCount val="1"/>
                <c:pt idx="0">
                  <c:v>Unilateral</c:v>
                </c:pt>
              </c:strCache>
            </c:strRef>
          </c:tx>
          <c:spPr>
            <a:solidFill>
              <a:schemeClr val="accent1"/>
            </a:solidFill>
            <a:ln>
              <a:noFill/>
            </a:ln>
            <a:effectLst/>
          </c:spPr>
          <c:invertIfNegative val="0"/>
          <c:cat>
            <c:strRef>
              <c:f>'Specific Analysis&amp;Graphs'!$K$126:$K$146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Analysis&amp;Graphs'!$L$126:$L$146</c:f>
              <c:numCache>
                <c:formatCode>General</c:formatCode>
                <c:ptCount val="21"/>
                <c:pt idx="0">
                  <c:v>2</c:v>
                </c:pt>
                <c:pt idx="1">
                  <c:v>3</c:v>
                </c:pt>
                <c:pt idx="2">
                  <c:v>0</c:v>
                </c:pt>
                <c:pt idx="3">
                  <c:v>2</c:v>
                </c:pt>
                <c:pt idx="4">
                  <c:v>1</c:v>
                </c:pt>
                <c:pt idx="5">
                  <c:v>6</c:v>
                </c:pt>
                <c:pt idx="6">
                  <c:v>5</c:v>
                </c:pt>
                <c:pt idx="7">
                  <c:v>0</c:v>
                </c:pt>
                <c:pt idx="8">
                  <c:v>0</c:v>
                </c:pt>
                <c:pt idx="9">
                  <c:v>11</c:v>
                </c:pt>
                <c:pt idx="10">
                  <c:v>1</c:v>
                </c:pt>
                <c:pt idx="11">
                  <c:v>1</c:v>
                </c:pt>
                <c:pt idx="12">
                  <c:v>8</c:v>
                </c:pt>
                <c:pt idx="13">
                  <c:v>4</c:v>
                </c:pt>
                <c:pt idx="14">
                  <c:v>1</c:v>
                </c:pt>
                <c:pt idx="15">
                  <c:v>0</c:v>
                </c:pt>
                <c:pt idx="16">
                  <c:v>0</c:v>
                </c:pt>
                <c:pt idx="17">
                  <c:v>0</c:v>
                </c:pt>
                <c:pt idx="18">
                  <c:v>2</c:v>
                </c:pt>
                <c:pt idx="19">
                  <c:v>13</c:v>
                </c:pt>
                <c:pt idx="20">
                  <c:v>0</c:v>
                </c:pt>
              </c:numCache>
            </c:numRef>
          </c:val>
          <c:extLst>
            <c:ext xmlns:c16="http://schemas.microsoft.com/office/drawing/2014/chart" uri="{C3380CC4-5D6E-409C-BE32-E72D297353CC}">
              <c16:uniqueId val="{00000000-22F6-B647-92B3-C9CAE7EA935D}"/>
            </c:ext>
          </c:extLst>
        </c:ser>
        <c:ser>
          <c:idx val="1"/>
          <c:order val="1"/>
          <c:tx>
            <c:strRef>
              <c:f>'Specific Analysis&amp;Graphs'!$M$125</c:f>
              <c:strCache>
                <c:ptCount val="1"/>
                <c:pt idx="0">
                  <c:v>Multilateral</c:v>
                </c:pt>
              </c:strCache>
            </c:strRef>
          </c:tx>
          <c:spPr>
            <a:solidFill>
              <a:schemeClr val="accent2"/>
            </a:solidFill>
            <a:ln>
              <a:noFill/>
            </a:ln>
            <a:effectLst/>
          </c:spPr>
          <c:invertIfNegative val="0"/>
          <c:cat>
            <c:strRef>
              <c:f>'Specific Analysis&amp;Graphs'!$K$126:$K$146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Analysis&amp;Graphs'!$M$126:$M$146</c:f>
              <c:numCache>
                <c:formatCode>General</c:formatCode>
                <c:ptCount val="21"/>
                <c:pt idx="0">
                  <c:v>76</c:v>
                </c:pt>
                <c:pt idx="1">
                  <c:v>62</c:v>
                </c:pt>
                <c:pt idx="2">
                  <c:v>7</c:v>
                </c:pt>
                <c:pt idx="3">
                  <c:v>67</c:v>
                </c:pt>
                <c:pt idx="4">
                  <c:v>58</c:v>
                </c:pt>
                <c:pt idx="5">
                  <c:v>63</c:v>
                </c:pt>
                <c:pt idx="6">
                  <c:v>10</c:v>
                </c:pt>
                <c:pt idx="7">
                  <c:v>2</c:v>
                </c:pt>
                <c:pt idx="8">
                  <c:v>55</c:v>
                </c:pt>
                <c:pt idx="9">
                  <c:v>6</c:v>
                </c:pt>
                <c:pt idx="10">
                  <c:v>9</c:v>
                </c:pt>
                <c:pt idx="11">
                  <c:v>4</c:v>
                </c:pt>
                <c:pt idx="12">
                  <c:v>6</c:v>
                </c:pt>
                <c:pt idx="13">
                  <c:v>29</c:v>
                </c:pt>
                <c:pt idx="14">
                  <c:v>10</c:v>
                </c:pt>
                <c:pt idx="15">
                  <c:v>7</c:v>
                </c:pt>
                <c:pt idx="16">
                  <c:v>5</c:v>
                </c:pt>
                <c:pt idx="17">
                  <c:v>5</c:v>
                </c:pt>
                <c:pt idx="18">
                  <c:v>8</c:v>
                </c:pt>
                <c:pt idx="19">
                  <c:v>8</c:v>
                </c:pt>
                <c:pt idx="20">
                  <c:v>4</c:v>
                </c:pt>
              </c:numCache>
            </c:numRef>
          </c:val>
          <c:extLst>
            <c:ext xmlns:c16="http://schemas.microsoft.com/office/drawing/2014/chart" uri="{C3380CC4-5D6E-409C-BE32-E72D297353CC}">
              <c16:uniqueId val="{00000001-22F6-B647-92B3-C9CAE7EA935D}"/>
            </c:ext>
          </c:extLst>
        </c:ser>
        <c:dLbls>
          <c:showLegendKey val="0"/>
          <c:showVal val="0"/>
          <c:showCatName val="0"/>
          <c:showSerName val="0"/>
          <c:showPercent val="0"/>
          <c:showBubbleSize val="0"/>
        </c:dLbls>
        <c:gapWidth val="150"/>
        <c:axId val="2013495759"/>
        <c:axId val="1976063583"/>
      </c:barChart>
      <c:catAx>
        <c:axId val="2013495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Third-Party</a:t>
                </a:r>
                <a:r>
                  <a:rPr lang="en-GB" baseline="0"/>
                  <a:t> State Mediator</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063583"/>
        <c:crosses val="autoZero"/>
        <c:auto val="1"/>
        <c:lblAlgn val="ctr"/>
        <c:lblOffset val="100"/>
        <c:noMultiLvlLbl val="0"/>
      </c:catAx>
      <c:valAx>
        <c:axId val="1976063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9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Mediation</a:t>
            </a:r>
            <a:r>
              <a:rPr lang="en-GB" baseline="0"/>
              <a:t> Activities by Neighbouring States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'Specific Analysis&amp;Graphs'!$C$229</c:f>
              <c:strCache>
                <c:ptCount val="1"/>
                <c:pt idx="0">
                  <c:v>good offices</c:v>
                </c:pt>
              </c:strCache>
            </c:strRef>
          </c:tx>
          <c:spPr>
            <a:solidFill>
              <a:schemeClr val="accent1"/>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Analysis&amp;Graphs'!$C$230:$C$239</c:f>
              <c:numCache>
                <c:formatCode>General</c:formatCode>
                <c:ptCount val="10"/>
                <c:pt idx="0">
                  <c:v>7</c:v>
                </c:pt>
                <c:pt idx="1">
                  <c:v>10</c:v>
                </c:pt>
                <c:pt idx="2">
                  <c:v>6</c:v>
                </c:pt>
                <c:pt idx="3">
                  <c:v>8</c:v>
                </c:pt>
                <c:pt idx="4">
                  <c:v>4</c:v>
                </c:pt>
                <c:pt idx="5">
                  <c:v>6</c:v>
                </c:pt>
                <c:pt idx="6">
                  <c:v>1</c:v>
                </c:pt>
                <c:pt idx="7">
                  <c:v>0</c:v>
                </c:pt>
                <c:pt idx="8">
                  <c:v>1</c:v>
                </c:pt>
                <c:pt idx="9">
                  <c:v>8</c:v>
                </c:pt>
              </c:numCache>
            </c:numRef>
          </c:val>
          <c:extLst>
            <c:ext xmlns:c16="http://schemas.microsoft.com/office/drawing/2014/chart" uri="{C3380CC4-5D6E-409C-BE32-E72D297353CC}">
              <c16:uniqueId val="{00000000-1E4A-5E4C-8453-E22FF32963E4}"/>
            </c:ext>
          </c:extLst>
        </c:ser>
        <c:ser>
          <c:idx val="1"/>
          <c:order val="1"/>
          <c:tx>
            <c:strRef>
              <c:f>'Specific Analysis&amp;Graphs'!$D$229</c:f>
              <c:strCache>
                <c:ptCount val="1"/>
                <c:pt idx="0">
                  <c:v>mediation</c:v>
                </c:pt>
              </c:strCache>
            </c:strRef>
          </c:tx>
          <c:spPr>
            <a:solidFill>
              <a:schemeClr val="accent2"/>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Analysis&amp;Graphs'!$D$230:$D$239</c:f>
              <c:numCache>
                <c:formatCode>General</c:formatCode>
                <c:ptCount val="10"/>
                <c:pt idx="0">
                  <c:v>55</c:v>
                </c:pt>
                <c:pt idx="1">
                  <c:v>49</c:v>
                </c:pt>
                <c:pt idx="2">
                  <c:v>48</c:v>
                </c:pt>
                <c:pt idx="3">
                  <c:v>56</c:v>
                </c:pt>
                <c:pt idx="4">
                  <c:v>11</c:v>
                </c:pt>
                <c:pt idx="5">
                  <c:v>20</c:v>
                </c:pt>
                <c:pt idx="6">
                  <c:v>1</c:v>
                </c:pt>
                <c:pt idx="7">
                  <c:v>1</c:v>
                </c:pt>
                <c:pt idx="8">
                  <c:v>0</c:v>
                </c:pt>
                <c:pt idx="9">
                  <c:v>12</c:v>
                </c:pt>
              </c:numCache>
            </c:numRef>
          </c:val>
          <c:extLst>
            <c:ext xmlns:c16="http://schemas.microsoft.com/office/drawing/2014/chart" uri="{C3380CC4-5D6E-409C-BE32-E72D297353CC}">
              <c16:uniqueId val="{00000001-1E4A-5E4C-8453-E22FF32963E4}"/>
            </c:ext>
          </c:extLst>
        </c:ser>
        <c:ser>
          <c:idx val="2"/>
          <c:order val="2"/>
          <c:tx>
            <c:strRef>
              <c:f>'Specific Analysis&amp;Graphs'!$E$229</c:f>
              <c:strCache>
                <c:ptCount val="1"/>
                <c:pt idx="0">
                  <c:v>hosting talks</c:v>
                </c:pt>
              </c:strCache>
            </c:strRef>
          </c:tx>
          <c:spPr>
            <a:solidFill>
              <a:schemeClr val="accent3"/>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Analysis&amp;Graphs'!$E$230:$E$239</c:f>
              <c:numCache>
                <c:formatCode>General</c:formatCode>
                <c:ptCount val="10"/>
                <c:pt idx="0">
                  <c:v>26</c:v>
                </c:pt>
                <c:pt idx="1">
                  <c:v>33</c:v>
                </c:pt>
                <c:pt idx="2">
                  <c:v>1</c:v>
                </c:pt>
                <c:pt idx="3">
                  <c:v>4</c:v>
                </c:pt>
                <c:pt idx="4">
                  <c:v>11</c:v>
                </c:pt>
                <c:pt idx="5">
                  <c:v>8</c:v>
                </c:pt>
                <c:pt idx="6">
                  <c:v>0</c:v>
                </c:pt>
                <c:pt idx="7">
                  <c:v>0</c:v>
                </c:pt>
                <c:pt idx="8">
                  <c:v>0</c:v>
                </c:pt>
                <c:pt idx="9">
                  <c:v>15</c:v>
                </c:pt>
              </c:numCache>
            </c:numRef>
          </c:val>
          <c:extLst>
            <c:ext xmlns:c16="http://schemas.microsoft.com/office/drawing/2014/chart" uri="{C3380CC4-5D6E-409C-BE32-E72D297353CC}">
              <c16:uniqueId val="{00000002-1E4A-5E4C-8453-E22FF32963E4}"/>
            </c:ext>
          </c:extLst>
        </c:ser>
        <c:ser>
          <c:idx val="3"/>
          <c:order val="3"/>
          <c:tx>
            <c:strRef>
              <c:f>'Specific Analysis&amp;Graphs'!$F$229</c:f>
              <c:strCache>
                <c:ptCount val="1"/>
                <c:pt idx="0">
                  <c:v>negotiating and drafting</c:v>
                </c:pt>
              </c:strCache>
            </c:strRef>
          </c:tx>
          <c:spPr>
            <a:solidFill>
              <a:schemeClr val="accent4"/>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Analysis&amp;Graphs'!$F$230:$F$239</c:f>
              <c:numCache>
                <c:formatCode>General</c:formatCode>
                <c:ptCount val="10"/>
                <c:pt idx="0">
                  <c:v>21</c:v>
                </c:pt>
                <c:pt idx="1">
                  <c:v>19</c:v>
                </c:pt>
                <c:pt idx="2">
                  <c:v>15</c:v>
                </c:pt>
                <c:pt idx="3">
                  <c:v>16</c:v>
                </c:pt>
                <c:pt idx="4">
                  <c:v>4</c:v>
                </c:pt>
                <c:pt idx="5">
                  <c:v>6</c:v>
                </c:pt>
                <c:pt idx="6">
                  <c:v>3</c:v>
                </c:pt>
                <c:pt idx="7">
                  <c:v>3</c:v>
                </c:pt>
                <c:pt idx="8">
                  <c:v>2</c:v>
                </c:pt>
                <c:pt idx="9">
                  <c:v>11</c:v>
                </c:pt>
              </c:numCache>
            </c:numRef>
          </c:val>
          <c:extLst>
            <c:ext xmlns:c16="http://schemas.microsoft.com/office/drawing/2014/chart" uri="{C3380CC4-5D6E-409C-BE32-E72D297353CC}">
              <c16:uniqueId val="{00000003-1E4A-5E4C-8453-E22FF32963E4}"/>
            </c:ext>
          </c:extLst>
        </c:ser>
        <c:ser>
          <c:idx val="4"/>
          <c:order val="4"/>
          <c:tx>
            <c:strRef>
              <c:f>'Specific Analysis&amp;Graphs'!$G$229</c:f>
              <c:strCache>
                <c:ptCount val="1"/>
                <c:pt idx="0">
                  <c:v>manipulating</c:v>
                </c:pt>
              </c:strCache>
            </c:strRef>
          </c:tx>
          <c:spPr>
            <a:solidFill>
              <a:schemeClr val="accent5"/>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Analysis&amp;Graphs'!$G$230:$G$239</c:f>
              <c:numCache>
                <c:formatCode>General</c:formatCode>
                <c:ptCount val="10"/>
                <c:pt idx="0">
                  <c:v>3</c:v>
                </c:pt>
                <c:pt idx="1">
                  <c:v>3</c:v>
                </c:pt>
                <c:pt idx="2">
                  <c:v>1</c:v>
                </c:pt>
                <c:pt idx="3">
                  <c:v>2</c:v>
                </c:pt>
                <c:pt idx="4">
                  <c:v>0</c:v>
                </c:pt>
                <c:pt idx="5">
                  <c:v>2</c:v>
                </c:pt>
                <c:pt idx="6">
                  <c:v>1</c:v>
                </c:pt>
                <c:pt idx="7">
                  <c:v>1</c:v>
                </c:pt>
                <c:pt idx="8">
                  <c:v>0</c:v>
                </c:pt>
                <c:pt idx="9">
                  <c:v>1</c:v>
                </c:pt>
              </c:numCache>
            </c:numRef>
          </c:val>
          <c:extLst>
            <c:ext xmlns:c16="http://schemas.microsoft.com/office/drawing/2014/chart" uri="{C3380CC4-5D6E-409C-BE32-E72D297353CC}">
              <c16:uniqueId val="{00000004-1E4A-5E4C-8453-E22FF32963E4}"/>
            </c:ext>
          </c:extLst>
        </c:ser>
        <c:ser>
          <c:idx val="5"/>
          <c:order val="5"/>
          <c:tx>
            <c:strRef>
              <c:f>'Specific Analysis&amp;Graphs'!$H$229</c:f>
              <c:strCache>
                <c:ptCount val="1"/>
                <c:pt idx="0">
                  <c:v>humanitarian</c:v>
                </c:pt>
              </c:strCache>
            </c:strRef>
          </c:tx>
          <c:spPr>
            <a:solidFill>
              <a:schemeClr val="accent6"/>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Analysis&amp;Graphs'!$H$230:$H$239</c:f>
              <c:numCache>
                <c:formatCode>General</c:formatCode>
                <c:ptCount val="10"/>
                <c:pt idx="0">
                  <c:v>2</c:v>
                </c:pt>
                <c:pt idx="1">
                  <c:v>2</c:v>
                </c:pt>
                <c:pt idx="2">
                  <c:v>1</c:v>
                </c:pt>
                <c:pt idx="3">
                  <c:v>1</c:v>
                </c:pt>
                <c:pt idx="4">
                  <c:v>2</c:v>
                </c:pt>
                <c:pt idx="5">
                  <c:v>0</c:v>
                </c:pt>
                <c:pt idx="6">
                  <c:v>0</c:v>
                </c:pt>
                <c:pt idx="7">
                  <c:v>0</c:v>
                </c:pt>
                <c:pt idx="8">
                  <c:v>0</c:v>
                </c:pt>
                <c:pt idx="9">
                  <c:v>1</c:v>
                </c:pt>
              </c:numCache>
            </c:numRef>
          </c:val>
          <c:extLst>
            <c:ext xmlns:c16="http://schemas.microsoft.com/office/drawing/2014/chart" uri="{C3380CC4-5D6E-409C-BE32-E72D297353CC}">
              <c16:uniqueId val="{00000005-1E4A-5E4C-8453-E22FF32963E4}"/>
            </c:ext>
          </c:extLst>
        </c:ser>
        <c:ser>
          <c:idx val="6"/>
          <c:order val="6"/>
          <c:tx>
            <c:strRef>
              <c:f>'Specific Analysis&amp;Graphs'!$I$229</c:f>
              <c:strCache>
                <c:ptCount val="1"/>
                <c:pt idx="0">
                  <c:v>witness/party to agreement</c:v>
                </c:pt>
              </c:strCache>
            </c:strRef>
          </c:tx>
          <c:spPr>
            <a:solidFill>
              <a:schemeClr val="accent1">
                <a:lumMod val="60000"/>
              </a:schemeClr>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Analysis&amp;Graphs'!$I$230:$I$239</c:f>
              <c:numCache>
                <c:formatCode>General</c:formatCode>
                <c:ptCount val="10"/>
                <c:pt idx="0">
                  <c:v>9</c:v>
                </c:pt>
                <c:pt idx="1">
                  <c:v>5</c:v>
                </c:pt>
                <c:pt idx="2">
                  <c:v>5</c:v>
                </c:pt>
                <c:pt idx="3">
                  <c:v>8</c:v>
                </c:pt>
                <c:pt idx="4">
                  <c:v>5</c:v>
                </c:pt>
                <c:pt idx="5">
                  <c:v>5</c:v>
                </c:pt>
                <c:pt idx="6">
                  <c:v>2</c:v>
                </c:pt>
                <c:pt idx="7">
                  <c:v>2</c:v>
                </c:pt>
                <c:pt idx="8">
                  <c:v>3</c:v>
                </c:pt>
                <c:pt idx="9">
                  <c:v>7</c:v>
                </c:pt>
              </c:numCache>
            </c:numRef>
          </c:val>
          <c:extLst>
            <c:ext xmlns:c16="http://schemas.microsoft.com/office/drawing/2014/chart" uri="{C3380CC4-5D6E-409C-BE32-E72D297353CC}">
              <c16:uniqueId val="{00000006-1E4A-5E4C-8453-E22FF32963E4}"/>
            </c:ext>
          </c:extLst>
        </c:ser>
        <c:ser>
          <c:idx val="7"/>
          <c:order val="7"/>
          <c:tx>
            <c:strRef>
              <c:f>'Specific Analysis&amp;Graphs'!$J$229</c:f>
              <c:strCache>
                <c:ptCount val="1"/>
                <c:pt idx="0">
                  <c:v>other</c:v>
                </c:pt>
              </c:strCache>
            </c:strRef>
          </c:tx>
          <c:spPr>
            <a:solidFill>
              <a:schemeClr val="accent2">
                <a:lumMod val="60000"/>
              </a:schemeClr>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Analysis&amp;Graphs'!$J$230:$J$239</c:f>
              <c:numCache>
                <c:formatCode>General</c:formatCode>
                <c:ptCount val="10"/>
                <c:pt idx="0">
                  <c:v>4</c:v>
                </c:pt>
                <c:pt idx="1">
                  <c:v>5</c:v>
                </c:pt>
                <c:pt idx="2">
                  <c:v>3</c:v>
                </c:pt>
                <c:pt idx="3">
                  <c:v>4</c:v>
                </c:pt>
                <c:pt idx="4">
                  <c:v>1</c:v>
                </c:pt>
                <c:pt idx="5">
                  <c:v>4</c:v>
                </c:pt>
                <c:pt idx="6">
                  <c:v>2</c:v>
                </c:pt>
                <c:pt idx="7">
                  <c:v>1</c:v>
                </c:pt>
                <c:pt idx="8">
                  <c:v>0</c:v>
                </c:pt>
                <c:pt idx="9">
                  <c:v>1</c:v>
                </c:pt>
              </c:numCache>
            </c:numRef>
          </c:val>
          <c:extLst>
            <c:ext xmlns:c16="http://schemas.microsoft.com/office/drawing/2014/chart" uri="{C3380CC4-5D6E-409C-BE32-E72D297353CC}">
              <c16:uniqueId val="{00000007-1E4A-5E4C-8453-E22FF32963E4}"/>
            </c:ext>
          </c:extLst>
        </c:ser>
        <c:dLbls>
          <c:showLegendKey val="0"/>
          <c:showVal val="0"/>
          <c:showCatName val="0"/>
          <c:showSerName val="0"/>
          <c:showPercent val="0"/>
          <c:showBubbleSize val="0"/>
        </c:dLbls>
        <c:gapWidth val="150"/>
        <c:overlap val="100"/>
        <c:axId val="1517241903"/>
        <c:axId val="1513717311"/>
      </c:barChart>
      <c:catAx>
        <c:axId val="15172419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Mediator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717311"/>
        <c:crosses val="autoZero"/>
        <c:auto val="1"/>
        <c:lblAlgn val="ctr"/>
        <c:lblOffset val="100"/>
        <c:noMultiLvlLbl val="0"/>
      </c:catAx>
      <c:valAx>
        <c:axId val="1513717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Incidence</a:t>
                </a:r>
                <a:r>
                  <a:rPr lang="en-GB" baseline="0"/>
                  <a:t> of Mediation Activity Type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41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China's</a:t>
            </a:r>
            <a:r>
              <a:rPr lang="en-US" baseline="0"/>
              <a:t> Participation in Unilateral and Multilateral Initiatives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Analysis&amp;Graphs'!$L$331</c:f>
              <c:strCache>
                <c:ptCount val="1"/>
                <c:pt idx="0">
                  <c:v>China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E0C-C748-8853-B98B6A1B82F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E0C-C748-8853-B98B6A1B82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Analysis&amp;Graphs'!$M$330:$N$330</c:f>
              <c:strCache>
                <c:ptCount val="2"/>
                <c:pt idx="0">
                  <c:v>Unilateral</c:v>
                </c:pt>
                <c:pt idx="1">
                  <c:v>Multileral</c:v>
                </c:pt>
              </c:strCache>
            </c:strRef>
          </c:cat>
          <c:val>
            <c:numRef>
              <c:f>'Specific Analysis&amp;Graphs'!$M$331:$N$331</c:f>
              <c:numCache>
                <c:formatCode>General</c:formatCode>
                <c:ptCount val="2"/>
                <c:pt idx="0">
                  <c:v>1</c:v>
                </c:pt>
                <c:pt idx="1">
                  <c:v>10</c:v>
                </c:pt>
              </c:numCache>
            </c:numRef>
          </c:val>
          <c:extLst>
            <c:ext xmlns:c16="http://schemas.microsoft.com/office/drawing/2014/chart" uri="{C3380CC4-5D6E-409C-BE32-E72D297353CC}">
              <c16:uniqueId val="{00000000-951F-2B40-BF27-5A44ED3D845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China's Mediation Participation</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Analysis&amp;Graphs'!$A$324</c:f>
              <c:strCache>
                <c:ptCount val="1"/>
                <c:pt idx="0">
                  <c:v>China</c:v>
                </c:pt>
              </c:strCache>
            </c:strRef>
          </c:tx>
          <c:spPr>
            <a:ln w="28575" cap="rnd">
              <a:solidFill>
                <a:schemeClr val="accent1"/>
              </a:solidFill>
              <a:round/>
            </a:ln>
            <a:effectLst/>
          </c:spPr>
          <c:marker>
            <c:symbol val="none"/>
          </c:marker>
          <c:cat>
            <c:numRef>
              <c:f>'Specific Analysis&amp;Graphs'!$B$323:$AK$323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Analysis&amp;Graphs'!$B$324:$AK$324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3</c:v>
                </c:pt>
                <c:pt idx="33">
                  <c:v>1</c:v>
                </c:pt>
                <c:pt idx="34">
                  <c:v>1</c:v>
                </c:pt>
                <c:pt idx="35">
                  <c:v>0</c:v>
                </c:pt>
              </c:numCache>
            </c:numRef>
          </c:val>
          <c:smooth val="0"/>
          <c:extLst>
            <c:ext xmlns:c16="http://schemas.microsoft.com/office/drawing/2014/chart" uri="{C3380CC4-5D6E-409C-BE32-E72D297353CC}">
              <c16:uniqueId val="{00000000-DD98-2F46-B301-3BA8F9569530}"/>
            </c:ext>
          </c:extLst>
        </c:ser>
        <c:dLbls>
          <c:showLegendKey val="0"/>
          <c:showVal val="0"/>
          <c:showCatName val="0"/>
          <c:showSerName val="0"/>
          <c:showPercent val="0"/>
          <c:showBubbleSize val="0"/>
        </c:dLbls>
        <c:smooth val="0"/>
        <c:axId val="1193087295"/>
        <c:axId val="1052351583"/>
      </c:lineChart>
      <c:catAx>
        <c:axId val="119308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351583"/>
        <c:crosses val="autoZero"/>
        <c:auto val="1"/>
        <c:lblAlgn val="ctr"/>
        <c:lblOffset val="100"/>
        <c:noMultiLvlLbl val="0"/>
      </c:catAx>
      <c:valAx>
        <c:axId val="1052351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Incidences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0872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Percentage of Activity Type: China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Analysis&amp;Graphs'!$A$333</c:f>
              <c:strCache>
                <c:ptCount val="1"/>
                <c:pt idx="0">
                  <c:v>% of Activity</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20C-0340-A69C-C6406688D2D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20C-0340-A69C-C6406688D2D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20C-0340-A69C-C6406688D2D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20C-0340-A69C-C6406688D2D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20C-0340-A69C-C6406688D2DC}"/>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120C-0340-A69C-C6406688D2DC}"/>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120C-0340-A69C-C6406688D2DC}"/>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120C-0340-A69C-C6406688D2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Analysis&amp;Graphs'!$B$332:$I$332</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Analysis&amp;Graphs'!$B$333:$I$333</c:f>
              <c:numCache>
                <c:formatCode>General</c:formatCode>
                <c:ptCount val="8"/>
                <c:pt idx="0">
                  <c:v>5</c:v>
                </c:pt>
                <c:pt idx="1">
                  <c:v>10</c:v>
                </c:pt>
                <c:pt idx="2">
                  <c:v>0</c:v>
                </c:pt>
                <c:pt idx="3">
                  <c:v>30</c:v>
                </c:pt>
                <c:pt idx="4">
                  <c:v>10</c:v>
                </c:pt>
                <c:pt idx="5">
                  <c:v>10</c:v>
                </c:pt>
                <c:pt idx="6">
                  <c:v>25</c:v>
                </c:pt>
                <c:pt idx="7">
                  <c:v>10</c:v>
                </c:pt>
              </c:numCache>
            </c:numRef>
          </c:val>
          <c:extLst>
            <c:ext xmlns:c16="http://schemas.microsoft.com/office/drawing/2014/chart" uri="{C3380CC4-5D6E-409C-BE32-E72D297353CC}">
              <c16:uniqueId val="{00000010-120C-0340-A69C-C6406688D2DC}"/>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Analysis&amp;Graphs'!$A$288</c:f>
              <c:strCache>
                <c:ptCount val="1"/>
                <c:pt idx="0">
                  <c:v>Percentage of Activity Type: Russia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B0-034E-B929-D42C9A4F899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B0-034E-B929-D42C9A4F899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B0-034E-B929-D42C9A4F8990}"/>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B0-034E-B929-D42C9A4F8990}"/>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6B0-034E-B929-D42C9A4F8990}"/>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6B0-034E-B929-D42C9A4F8990}"/>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6B0-034E-B929-D42C9A4F8990}"/>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6B0-034E-B929-D42C9A4F8990}"/>
              </c:ext>
            </c:extLst>
          </c:dPt>
          <c:dLbls>
            <c:dLbl>
              <c:idx val="1"/>
              <c:layout>
                <c:manualLayout>
                  <c:x val="-0.12468514234325766"/>
                  <c:y val="0.188318284538756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6B0-034E-B929-D42C9A4F8990}"/>
                </c:ext>
              </c:extLst>
            </c:dLbl>
            <c:dLbl>
              <c:idx val="2"/>
              <c:layout>
                <c:manualLayout>
                  <c:x val="-0.16333866505570849"/>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6B0-034E-B929-D42C9A4F8990}"/>
                </c:ext>
              </c:extLst>
            </c:dLbl>
            <c:dLbl>
              <c:idx val="3"/>
              <c:layout>
                <c:manualLayout>
                  <c:x val="-0.12055193623900767"/>
                  <c:y val="-0.1994434479473848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6B0-034E-B929-D42C9A4F8990}"/>
                </c:ext>
              </c:extLst>
            </c:dLbl>
            <c:dLbl>
              <c:idx val="5"/>
              <c:layout>
                <c:manualLayout>
                  <c:x val="0.12750921609951327"/>
                  <c:y val="-0.1230421872941558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6B0-034E-B929-D42C9A4F8990}"/>
                </c:ext>
              </c:extLst>
            </c:dLbl>
            <c:dLbl>
              <c:idx val="6"/>
              <c:layout>
                <c:manualLayout>
                  <c:x val="0.21423336468294554"/>
                  <c:y val="0.1606662005087201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0-034E-B929-D42C9A4F8990}"/>
                </c:ext>
              </c:extLst>
            </c:dLbl>
            <c:dLbl>
              <c:idx val="7"/>
              <c:layout>
                <c:manualLayout>
                  <c:x val="1.7436791630339378E-3"/>
                  <c:y val="0.2468310380121403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0-034E-B929-D42C9A4F899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Analysis&amp;Graphs'!$B$287:$I$287</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Analysis&amp;Graphs'!$B$288:$I$288</c:f>
              <c:numCache>
                <c:formatCode>General</c:formatCode>
                <c:ptCount val="8"/>
                <c:pt idx="0">
                  <c:v>0</c:v>
                </c:pt>
                <c:pt idx="1">
                  <c:v>20</c:v>
                </c:pt>
                <c:pt idx="2">
                  <c:v>10</c:v>
                </c:pt>
                <c:pt idx="3">
                  <c:v>30</c:v>
                </c:pt>
                <c:pt idx="4">
                  <c:v>0</c:v>
                </c:pt>
                <c:pt idx="5">
                  <c:v>10</c:v>
                </c:pt>
                <c:pt idx="6">
                  <c:v>30</c:v>
                </c:pt>
                <c:pt idx="7">
                  <c:v>0</c:v>
                </c:pt>
              </c:numCache>
            </c:numRef>
          </c:val>
          <c:extLst>
            <c:ext xmlns:c16="http://schemas.microsoft.com/office/drawing/2014/chart" uri="{C3380CC4-5D6E-409C-BE32-E72D297353CC}">
              <c16:uniqueId val="{00000010-B6B0-034E-B929-D42C9A4F8990}"/>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Russia's Participation in Unilateral</a:t>
            </a:r>
            <a:r>
              <a:rPr lang="en-US" baseline="0"/>
              <a:t> and Multilateral Initiatives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Analysis&amp;Graphs'!$L$286</c:f>
              <c:strCache>
                <c:ptCount val="1"/>
                <c:pt idx="0">
                  <c:v>Russia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813-A34D-B10F-74FCBBF9CF1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813-A34D-B10F-74FCBBF9CF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Analysis&amp;Graphs'!$M$285:$N$285</c:f>
              <c:strCache>
                <c:ptCount val="2"/>
                <c:pt idx="0">
                  <c:v>Unilateral</c:v>
                </c:pt>
                <c:pt idx="1">
                  <c:v>Multilateral</c:v>
                </c:pt>
              </c:strCache>
            </c:strRef>
          </c:cat>
          <c:val>
            <c:numRef>
              <c:f>'Specific Analysis&amp;Graphs'!$M$286:$N$286</c:f>
              <c:numCache>
                <c:formatCode>General</c:formatCode>
                <c:ptCount val="2"/>
                <c:pt idx="0">
                  <c:v>1</c:v>
                </c:pt>
                <c:pt idx="1">
                  <c:v>4</c:v>
                </c:pt>
              </c:numCache>
            </c:numRef>
          </c:val>
          <c:extLst>
            <c:ext xmlns:c16="http://schemas.microsoft.com/office/drawing/2014/chart" uri="{C3380CC4-5D6E-409C-BE32-E72D297353CC}">
              <c16:uniqueId val="{00000000-1897-F340-9022-1FAFD438554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Analysis&amp;Graphs'!$A$282</c:f>
              <c:strCache>
                <c:ptCount val="1"/>
                <c:pt idx="0">
                  <c:v>Russia</c:v>
                </c:pt>
              </c:strCache>
            </c:strRef>
          </c:tx>
          <c:spPr>
            <a:ln w="28575" cap="rnd">
              <a:solidFill>
                <a:schemeClr val="accent1"/>
              </a:solidFill>
              <a:round/>
            </a:ln>
            <a:effectLst/>
          </c:spPr>
          <c:marker>
            <c:symbol val="none"/>
          </c:marker>
          <c:cat>
            <c:numRef>
              <c:f>'Specific Analysis&amp;Graphs'!$B$281:$AK$281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Analysis&amp;Graphs'!$B$282:$AK$282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1</c:v>
                </c:pt>
                <c:pt idx="31">
                  <c:v>0</c:v>
                </c:pt>
                <c:pt idx="32">
                  <c:v>1</c:v>
                </c:pt>
                <c:pt idx="33">
                  <c:v>0</c:v>
                </c:pt>
                <c:pt idx="34">
                  <c:v>0</c:v>
                </c:pt>
                <c:pt idx="35">
                  <c:v>0</c:v>
                </c:pt>
              </c:numCache>
            </c:numRef>
          </c:val>
          <c:smooth val="0"/>
          <c:extLst>
            <c:ext xmlns:c16="http://schemas.microsoft.com/office/drawing/2014/chart" uri="{C3380CC4-5D6E-409C-BE32-E72D297353CC}">
              <c16:uniqueId val="{00000000-E886-E74E-9E76-927D1A5D8D54}"/>
            </c:ext>
          </c:extLst>
        </c:ser>
        <c:dLbls>
          <c:showLegendKey val="0"/>
          <c:showVal val="0"/>
          <c:showCatName val="0"/>
          <c:showSerName val="0"/>
          <c:showPercent val="0"/>
          <c:showBubbleSize val="0"/>
        </c:dLbls>
        <c:smooth val="0"/>
        <c:axId val="1245296815"/>
        <c:axId val="1229973887"/>
      </c:lineChart>
      <c:catAx>
        <c:axId val="124529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973887"/>
        <c:crosses val="autoZero"/>
        <c:auto val="1"/>
        <c:lblAlgn val="ctr"/>
        <c:lblOffset val="100"/>
        <c:noMultiLvlLbl val="0"/>
      </c:catAx>
      <c:valAx>
        <c:axId val="122997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296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Prevelance of Unilateral and Multilateral Initiatives over Time: China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'Specific Analysis&amp;Graphs'!$A$326</c:f>
              <c:strCache>
                <c:ptCount val="1"/>
                <c:pt idx="0">
                  <c:v>Multilateral_China</c:v>
                </c:pt>
              </c:strCache>
            </c:strRef>
          </c:tx>
          <c:spPr>
            <a:solidFill>
              <a:schemeClr val="accent1"/>
            </a:solidFill>
            <a:ln>
              <a:noFill/>
            </a:ln>
            <a:effectLst/>
          </c:spPr>
          <c:invertIfNegative val="0"/>
          <c:cat>
            <c:numRef>
              <c:f>'Specific Analysis&amp;Graphs'!$B$325:$AK$325</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Analysis&amp;Graphs'!$B$326:$AK$326</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2</c:v>
                </c:pt>
                <c:pt idx="33">
                  <c:v>1</c:v>
                </c:pt>
                <c:pt idx="34">
                  <c:v>1</c:v>
                </c:pt>
                <c:pt idx="35">
                  <c:v>0</c:v>
                </c:pt>
              </c:numCache>
            </c:numRef>
          </c:val>
          <c:extLst>
            <c:ext xmlns:c16="http://schemas.microsoft.com/office/drawing/2014/chart" uri="{C3380CC4-5D6E-409C-BE32-E72D297353CC}">
              <c16:uniqueId val="{00000000-AA58-9348-93FE-B4EAF5A795C7}"/>
            </c:ext>
          </c:extLst>
        </c:ser>
        <c:ser>
          <c:idx val="1"/>
          <c:order val="1"/>
          <c:tx>
            <c:strRef>
              <c:f>'Specific Analysis&amp;Graphs'!$A$327</c:f>
              <c:strCache>
                <c:ptCount val="1"/>
                <c:pt idx="0">
                  <c:v>Unilateral_China</c:v>
                </c:pt>
              </c:strCache>
            </c:strRef>
          </c:tx>
          <c:spPr>
            <a:solidFill>
              <a:schemeClr val="accent2"/>
            </a:solidFill>
            <a:ln>
              <a:noFill/>
            </a:ln>
            <a:effectLst/>
          </c:spPr>
          <c:invertIfNegative val="0"/>
          <c:cat>
            <c:numRef>
              <c:f>'Specific Analysis&amp;Graphs'!$B$325:$AK$325</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Analysis&amp;Graphs'!$B$327:$AK$327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0</c:v>
                </c:pt>
                <c:pt idx="34">
                  <c:v>0</c:v>
                </c:pt>
                <c:pt idx="35">
                  <c:v>0</c:v>
                </c:pt>
              </c:numCache>
            </c:numRef>
          </c:val>
          <c:extLst>
            <c:ext xmlns:c16="http://schemas.microsoft.com/office/drawing/2014/chart" uri="{C3380CC4-5D6E-409C-BE32-E72D297353CC}">
              <c16:uniqueId val="{00000001-AA58-9348-93FE-B4EAF5A795C7}"/>
            </c:ext>
          </c:extLst>
        </c:ser>
        <c:dLbls>
          <c:showLegendKey val="0"/>
          <c:showVal val="0"/>
          <c:showCatName val="0"/>
          <c:showSerName val="0"/>
          <c:showPercent val="0"/>
          <c:showBubbleSize val="0"/>
        </c:dLbls>
        <c:gapWidth val="150"/>
        <c:overlap val="100"/>
        <c:axId val="1254442671"/>
        <c:axId val="1249478751"/>
      </c:barChart>
      <c:catAx>
        <c:axId val="125444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478751"/>
        <c:crosses val="autoZero"/>
        <c:auto val="1"/>
        <c:lblAlgn val="ctr"/>
        <c:lblOffset val="100"/>
        <c:noMultiLvlLbl val="0"/>
      </c:catAx>
      <c:valAx>
        <c:axId val="124947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442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Qatar's Participation in Mediation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Analysis&amp;Graphs'!$A$365</c:f>
              <c:strCache>
                <c:ptCount val="1"/>
                <c:pt idx="0">
                  <c:v>Qatar</c:v>
                </c:pt>
              </c:strCache>
            </c:strRef>
          </c:tx>
          <c:spPr>
            <a:ln w="28575" cap="rnd">
              <a:solidFill>
                <a:schemeClr val="accent1"/>
              </a:solidFill>
              <a:round/>
            </a:ln>
            <a:effectLst/>
          </c:spPr>
          <c:marker>
            <c:symbol val="none"/>
          </c:marker>
          <c:cat>
            <c:numRef>
              <c:f>'Specific Analysis&amp;Graphs'!$B$364:$AK$364</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Analysis&amp;Graphs'!$B$365:$AK$365</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2</c:v>
                </c:pt>
                <c:pt idx="22">
                  <c:v>2</c:v>
                </c:pt>
                <c:pt idx="23">
                  <c:v>1</c:v>
                </c:pt>
                <c:pt idx="24">
                  <c:v>1</c:v>
                </c:pt>
                <c:pt idx="25">
                  <c:v>1</c:v>
                </c:pt>
                <c:pt idx="26">
                  <c:v>0</c:v>
                </c:pt>
                <c:pt idx="27">
                  <c:v>0</c:v>
                </c:pt>
                <c:pt idx="28">
                  <c:v>1</c:v>
                </c:pt>
                <c:pt idx="29">
                  <c:v>0</c:v>
                </c:pt>
                <c:pt idx="30">
                  <c:v>1</c:v>
                </c:pt>
                <c:pt idx="31">
                  <c:v>0</c:v>
                </c:pt>
                <c:pt idx="32">
                  <c:v>5</c:v>
                </c:pt>
                <c:pt idx="33">
                  <c:v>1</c:v>
                </c:pt>
                <c:pt idx="34">
                  <c:v>0</c:v>
                </c:pt>
                <c:pt idx="35">
                  <c:v>0</c:v>
                </c:pt>
              </c:numCache>
            </c:numRef>
          </c:val>
          <c:smooth val="0"/>
          <c:extLst>
            <c:ext xmlns:c16="http://schemas.microsoft.com/office/drawing/2014/chart" uri="{C3380CC4-5D6E-409C-BE32-E72D297353CC}">
              <c16:uniqueId val="{00000000-0627-AA4B-84FB-90CC2F234AD6}"/>
            </c:ext>
          </c:extLst>
        </c:ser>
        <c:dLbls>
          <c:showLegendKey val="0"/>
          <c:showVal val="0"/>
          <c:showCatName val="0"/>
          <c:showSerName val="0"/>
          <c:showPercent val="0"/>
          <c:showBubbleSize val="0"/>
        </c:dLbls>
        <c:smooth val="0"/>
        <c:axId val="1249856943"/>
        <c:axId val="864826095"/>
      </c:lineChart>
      <c:catAx>
        <c:axId val="1249856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26095"/>
        <c:crosses val="autoZero"/>
        <c:auto val="1"/>
        <c:lblAlgn val="ctr"/>
        <c:lblOffset val="100"/>
        <c:noMultiLvlLbl val="0"/>
      </c:catAx>
      <c:valAx>
        <c:axId val="86482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569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Qatar's</a:t>
            </a:r>
            <a:r>
              <a:rPr lang="en-GB" baseline="0"/>
              <a:t> Participation in Unilateral and Multilateral Initiatives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'Specific Analysis&amp;Graphs'!$A$367</c:f>
              <c:strCache>
                <c:ptCount val="1"/>
                <c:pt idx="0">
                  <c:v>Unilateral_Qatar</c:v>
                </c:pt>
              </c:strCache>
            </c:strRef>
          </c:tx>
          <c:spPr>
            <a:solidFill>
              <a:schemeClr val="accent1"/>
            </a:solidFill>
            <a:ln>
              <a:noFill/>
            </a:ln>
            <a:effectLst/>
          </c:spPr>
          <c:invertIfNegative val="0"/>
          <c:cat>
            <c:numRef>
              <c:f>'Specific Analysis&amp;Graphs'!$B$366:$AK$366</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Analysis&amp;Graphs'!$B$367:$AK$367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c:v>
                </c:pt>
                <c:pt idx="22">
                  <c:v>2</c:v>
                </c:pt>
                <c:pt idx="23">
                  <c:v>1</c:v>
                </c:pt>
                <c:pt idx="24">
                  <c:v>1</c:v>
                </c:pt>
                <c:pt idx="25">
                  <c:v>0</c:v>
                </c:pt>
                <c:pt idx="26">
                  <c:v>0</c:v>
                </c:pt>
                <c:pt idx="27">
                  <c:v>0</c:v>
                </c:pt>
                <c:pt idx="28">
                  <c:v>1</c:v>
                </c:pt>
                <c:pt idx="29">
                  <c:v>0</c:v>
                </c:pt>
                <c:pt idx="30">
                  <c:v>1</c:v>
                </c:pt>
                <c:pt idx="31">
                  <c:v>0</c:v>
                </c:pt>
                <c:pt idx="32">
                  <c:v>1</c:v>
                </c:pt>
                <c:pt idx="33">
                  <c:v>0</c:v>
                </c:pt>
                <c:pt idx="34">
                  <c:v>0</c:v>
                </c:pt>
                <c:pt idx="35">
                  <c:v>0</c:v>
                </c:pt>
              </c:numCache>
            </c:numRef>
          </c:val>
          <c:extLst>
            <c:ext xmlns:c16="http://schemas.microsoft.com/office/drawing/2014/chart" uri="{C3380CC4-5D6E-409C-BE32-E72D297353CC}">
              <c16:uniqueId val="{00000000-BF9B-E649-A167-6884AE3EE1EE}"/>
            </c:ext>
          </c:extLst>
        </c:ser>
        <c:ser>
          <c:idx val="1"/>
          <c:order val="1"/>
          <c:tx>
            <c:strRef>
              <c:f>'Specific Analysis&amp;Graphs'!$A$368</c:f>
              <c:strCache>
                <c:ptCount val="1"/>
                <c:pt idx="0">
                  <c:v>Multilateral_Qatar</c:v>
                </c:pt>
              </c:strCache>
            </c:strRef>
          </c:tx>
          <c:spPr>
            <a:solidFill>
              <a:schemeClr val="accent2"/>
            </a:solidFill>
            <a:ln>
              <a:noFill/>
            </a:ln>
            <a:effectLst/>
          </c:spPr>
          <c:invertIfNegative val="0"/>
          <c:cat>
            <c:numRef>
              <c:f>'Specific Analysis&amp;Graphs'!$B$366:$AK$366</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Analysis&amp;Graphs'!$B$368:$AK$368</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c:v>
                </c:pt>
                <c:pt idx="22">
                  <c:v>0</c:v>
                </c:pt>
                <c:pt idx="23">
                  <c:v>0</c:v>
                </c:pt>
                <c:pt idx="24">
                  <c:v>0</c:v>
                </c:pt>
                <c:pt idx="25">
                  <c:v>1</c:v>
                </c:pt>
                <c:pt idx="26">
                  <c:v>0</c:v>
                </c:pt>
                <c:pt idx="27">
                  <c:v>0</c:v>
                </c:pt>
                <c:pt idx="28">
                  <c:v>0</c:v>
                </c:pt>
                <c:pt idx="29">
                  <c:v>0</c:v>
                </c:pt>
                <c:pt idx="30">
                  <c:v>0</c:v>
                </c:pt>
                <c:pt idx="31">
                  <c:v>0</c:v>
                </c:pt>
                <c:pt idx="32">
                  <c:v>4</c:v>
                </c:pt>
                <c:pt idx="33">
                  <c:v>1</c:v>
                </c:pt>
                <c:pt idx="34">
                  <c:v>0</c:v>
                </c:pt>
                <c:pt idx="35">
                  <c:v>0</c:v>
                </c:pt>
              </c:numCache>
            </c:numRef>
          </c:val>
          <c:extLst>
            <c:ext xmlns:c16="http://schemas.microsoft.com/office/drawing/2014/chart" uri="{C3380CC4-5D6E-409C-BE32-E72D297353CC}">
              <c16:uniqueId val="{00000001-BF9B-E649-A167-6884AE3EE1EE}"/>
            </c:ext>
          </c:extLst>
        </c:ser>
        <c:dLbls>
          <c:showLegendKey val="0"/>
          <c:showVal val="0"/>
          <c:showCatName val="0"/>
          <c:showSerName val="0"/>
          <c:showPercent val="0"/>
          <c:showBubbleSize val="0"/>
        </c:dLbls>
        <c:gapWidth val="150"/>
        <c:overlap val="100"/>
        <c:axId val="772713935"/>
        <c:axId val="794034175"/>
      </c:barChart>
      <c:catAx>
        <c:axId val="772713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34175"/>
        <c:crosses val="autoZero"/>
        <c:auto val="1"/>
        <c:lblAlgn val="ctr"/>
        <c:lblOffset val="100"/>
        <c:noMultiLvlLbl val="0"/>
      </c:catAx>
      <c:valAx>
        <c:axId val="7940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71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Percentage of Activity Type: Qatar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Analysis&amp;Graphs'!$A$374</c:f>
              <c:strCache>
                <c:ptCount val="1"/>
                <c:pt idx="0">
                  <c:v>% of Qatar's Activity Type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24C-804A-8995-A2F4E07166E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24C-804A-8995-A2F4E07166E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24C-804A-8995-A2F4E07166E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24C-804A-8995-A2F4E07166E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524C-804A-8995-A2F4E07166E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524C-804A-8995-A2F4E07166E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524C-804A-8995-A2F4E07166E1}"/>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524C-804A-8995-A2F4E07166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Analysis&amp;Graphs'!$B$373:$I$373</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Analysis&amp;Graphs'!$B$374:$I$374</c:f>
              <c:numCache>
                <c:formatCode>General</c:formatCode>
                <c:ptCount val="8"/>
                <c:pt idx="0">
                  <c:v>6.0606060606060606</c:v>
                </c:pt>
                <c:pt idx="1">
                  <c:v>18.181818181818183</c:v>
                </c:pt>
                <c:pt idx="2">
                  <c:v>21.212121212121211</c:v>
                </c:pt>
                <c:pt idx="3">
                  <c:v>15.151515151515152</c:v>
                </c:pt>
                <c:pt idx="4">
                  <c:v>6.0606060606060606</c:v>
                </c:pt>
                <c:pt idx="5">
                  <c:v>6.0606060606060606</c:v>
                </c:pt>
                <c:pt idx="6">
                  <c:v>15.151515151515152</c:v>
                </c:pt>
                <c:pt idx="7">
                  <c:v>12.121212121212121</c:v>
                </c:pt>
              </c:numCache>
            </c:numRef>
          </c:val>
          <c:extLst>
            <c:ext xmlns:c16="http://schemas.microsoft.com/office/drawing/2014/chart" uri="{C3380CC4-5D6E-409C-BE32-E72D297353CC}">
              <c16:uniqueId val="{00000000-1ABF-184B-905E-4A5FF6DB6F3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88900</xdr:colOff>
      <xdr:row>24</xdr:row>
      <xdr:rowOff>171450</xdr:rowOff>
    </xdr:from>
    <xdr:to>
      <xdr:col>17</xdr:col>
      <xdr:colOff>0</xdr:colOff>
      <xdr:row>48</xdr:row>
      <xdr:rowOff>139700</xdr:rowOff>
    </xdr:to>
    <xdr:graphicFrame macro="">
      <xdr:nvGraphicFramePr>
        <xdr:cNvPr id="2" name="Chart 1">
          <a:extLst>
            <a:ext uri="{FF2B5EF4-FFF2-40B4-BE49-F238E27FC236}">
              <a16:creationId xmlns:a16="http://schemas.microsoft.com/office/drawing/2014/main" id="{C4D61FD6-7226-B5B0-B7DE-971183E87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58</xdr:row>
      <xdr:rowOff>76200</xdr:rowOff>
    </xdr:from>
    <xdr:to>
      <xdr:col>16</xdr:col>
      <xdr:colOff>406400</xdr:colOff>
      <xdr:row>83</xdr:row>
      <xdr:rowOff>165100</xdr:rowOff>
    </xdr:to>
    <xdr:graphicFrame macro="">
      <xdr:nvGraphicFramePr>
        <xdr:cNvPr id="5" name="Chart 4">
          <a:extLst>
            <a:ext uri="{FF2B5EF4-FFF2-40B4-BE49-F238E27FC236}">
              <a16:creationId xmlns:a16="http://schemas.microsoft.com/office/drawing/2014/main" id="{5AEABFAE-9AE6-2DCF-5A5B-2C774619F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317500</xdr:colOff>
      <xdr:row>93</xdr:row>
      <xdr:rowOff>50800</xdr:rowOff>
    </xdr:from>
    <xdr:to>
      <xdr:col>15</xdr:col>
      <xdr:colOff>279400</xdr:colOff>
      <xdr:row>121</xdr:row>
      <xdr:rowOff>38100</xdr:rowOff>
    </xdr:to>
    <xdr:graphicFrame macro="">
      <xdr:nvGraphicFramePr>
        <xdr:cNvPr id="6" name="Chart 5">
          <a:extLst>
            <a:ext uri="{FF2B5EF4-FFF2-40B4-BE49-F238E27FC236}">
              <a16:creationId xmlns:a16="http://schemas.microsoft.com/office/drawing/2014/main" id="{45A02489-1E47-4D39-3024-D73182178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393700</xdr:colOff>
      <xdr:row>149</xdr:row>
      <xdr:rowOff>114300</xdr:rowOff>
    </xdr:from>
    <xdr:to>
      <xdr:col>11</xdr:col>
      <xdr:colOff>533400</xdr:colOff>
      <xdr:row>180</xdr:row>
      <xdr:rowOff>190500</xdr:rowOff>
    </xdr:to>
    <xdr:graphicFrame macro="">
      <xdr:nvGraphicFramePr>
        <xdr:cNvPr id="7" name="Chart 6">
          <a:extLst>
            <a:ext uri="{FF2B5EF4-FFF2-40B4-BE49-F238E27FC236}">
              <a16:creationId xmlns:a16="http://schemas.microsoft.com/office/drawing/2014/main" id="{C7544A71-74B0-244F-A9D2-79FED0B2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647700</xdr:colOff>
      <xdr:row>184</xdr:row>
      <xdr:rowOff>107950</xdr:rowOff>
    </xdr:from>
    <xdr:to>
      <xdr:col>10</xdr:col>
      <xdr:colOff>749300</xdr:colOff>
      <xdr:row>216</xdr:row>
      <xdr:rowOff>101600</xdr:rowOff>
    </xdr:to>
    <xdr:graphicFrame macro="">
      <xdr:nvGraphicFramePr>
        <xdr:cNvPr id="8" name="Chart 7">
          <a:extLst>
            <a:ext uri="{FF2B5EF4-FFF2-40B4-BE49-F238E27FC236}">
              <a16:creationId xmlns:a16="http://schemas.microsoft.com/office/drawing/2014/main" id="{86BF9611-117E-9847-9D65-C94465280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165100</xdr:colOff>
      <xdr:row>151</xdr:row>
      <xdr:rowOff>31750</xdr:rowOff>
    </xdr:from>
    <xdr:to>
      <xdr:col>26</xdr:col>
      <xdr:colOff>88900</xdr:colOff>
      <xdr:row>177</xdr:row>
      <xdr:rowOff>165100</xdr:rowOff>
    </xdr:to>
    <xdr:graphicFrame macro="">
      <xdr:nvGraphicFramePr>
        <xdr:cNvPr id="10" name="Chart 9">
          <a:extLst>
            <a:ext uri="{FF2B5EF4-FFF2-40B4-BE49-F238E27FC236}">
              <a16:creationId xmlns:a16="http://schemas.microsoft.com/office/drawing/2014/main" id="{B39C64B0-D71D-66CD-7600-812FF4BF4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501650</xdr:colOff>
      <xdr:row>257</xdr:row>
      <xdr:rowOff>177800</xdr:rowOff>
    </xdr:from>
    <xdr:to>
      <xdr:col>12</xdr:col>
      <xdr:colOff>609600</xdr:colOff>
      <xdr:row>276</xdr:row>
      <xdr:rowOff>25400</xdr:rowOff>
    </xdr:to>
    <xdr:graphicFrame macro="">
      <xdr:nvGraphicFramePr>
        <xdr:cNvPr id="18" name="Chart 17">
          <a:extLst>
            <a:ext uri="{FF2B5EF4-FFF2-40B4-BE49-F238E27FC236}">
              <a16:creationId xmlns:a16="http://schemas.microsoft.com/office/drawing/2014/main" id="{6BC6BFEF-9EEF-8472-15CD-3353F9B5B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800100</xdr:colOff>
      <xdr:row>332</xdr:row>
      <xdr:rowOff>12700</xdr:rowOff>
    </xdr:from>
    <xdr:to>
      <xdr:col>17</xdr:col>
      <xdr:colOff>361950</xdr:colOff>
      <xdr:row>347</xdr:row>
      <xdr:rowOff>152400</xdr:rowOff>
    </xdr:to>
    <xdr:graphicFrame macro="">
      <xdr:nvGraphicFramePr>
        <xdr:cNvPr id="3" name="Chart 2">
          <a:extLst>
            <a:ext uri="{FF2B5EF4-FFF2-40B4-BE49-F238E27FC236}">
              <a16:creationId xmlns:a16="http://schemas.microsoft.com/office/drawing/2014/main" id="{3B4034CD-9EF6-FA5D-08B3-68214A0C0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812800</xdr:colOff>
      <xdr:row>328</xdr:row>
      <xdr:rowOff>12700</xdr:rowOff>
    </xdr:from>
    <xdr:to>
      <xdr:col>27</xdr:col>
      <xdr:colOff>495300</xdr:colOff>
      <xdr:row>344</xdr:row>
      <xdr:rowOff>88900</xdr:rowOff>
    </xdr:to>
    <xdr:graphicFrame macro="">
      <xdr:nvGraphicFramePr>
        <xdr:cNvPr id="4" name="Chart 3">
          <a:extLst>
            <a:ext uri="{FF2B5EF4-FFF2-40B4-BE49-F238E27FC236}">
              <a16:creationId xmlns:a16="http://schemas.microsoft.com/office/drawing/2014/main" id="{C91C7D06-2F9E-168A-8C9C-764037518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12700</xdr:colOff>
      <xdr:row>334</xdr:row>
      <xdr:rowOff>12700</xdr:rowOff>
    </xdr:from>
    <xdr:to>
      <xdr:col>9</xdr:col>
      <xdr:colOff>603250</xdr:colOff>
      <xdr:row>357</xdr:row>
      <xdr:rowOff>165100</xdr:rowOff>
    </xdr:to>
    <xdr:graphicFrame macro="">
      <xdr:nvGraphicFramePr>
        <xdr:cNvPr id="9" name="Chart 8">
          <a:extLst>
            <a:ext uri="{FF2B5EF4-FFF2-40B4-BE49-F238E27FC236}">
              <a16:creationId xmlns:a16="http://schemas.microsoft.com/office/drawing/2014/main" id="{F658E10A-1CF5-3947-A3EB-6152897E1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12700</xdr:colOff>
      <xdr:row>289</xdr:row>
      <xdr:rowOff>0</xdr:rowOff>
    </xdr:from>
    <xdr:to>
      <xdr:col>9</xdr:col>
      <xdr:colOff>692150</xdr:colOff>
      <xdr:row>313</xdr:row>
      <xdr:rowOff>57150</xdr:rowOff>
    </xdr:to>
    <xdr:graphicFrame macro="">
      <xdr:nvGraphicFramePr>
        <xdr:cNvPr id="11" name="Chart 10">
          <a:extLst>
            <a:ext uri="{FF2B5EF4-FFF2-40B4-BE49-F238E27FC236}">
              <a16:creationId xmlns:a16="http://schemas.microsoft.com/office/drawing/2014/main" id="{87C32785-C637-B64C-A746-BD26A8848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368300</xdr:colOff>
      <xdr:row>287</xdr:row>
      <xdr:rowOff>127000</xdr:rowOff>
    </xdr:from>
    <xdr:to>
      <xdr:col>16</xdr:col>
      <xdr:colOff>762000</xdr:colOff>
      <xdr:row>304</xdr:row>
      <xdr:rowOff>38100</xdr:rowOff>
    </xdr:to>
    <xdr:graphicFrame macro="">
      <xdr:nvGraphicFramePr>
        <xdr:cNvPr id="13" name="Chart 12">
          <a:extLst>
            <a:ext uri="{FF2B5EF4-FFF2-40B4-BE49-F238E27FC236}">
              <a16:creationId xmlns:a16="http://schemas.microsoft.com/office/drawing/2014/main" id="{87C70811-4A6C-3C91-CDAA-FC7254A83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76200</xdr:colOff>
      <xdr:row>282</xdr:row>
      <xdr:rowOff>152400</xdr:rowOff>
    </xdr:from>
    <xdr:to>
      <xdr:col>25</xdr:col>
      <xdr:colOff>622300</xdr:colOff>
      <xdr:row>290</xdr:row>
      <xdr:rowOff>165100</xdr:rowOff>
    </xdr:to>
    <xdr:graphicFrame macro="">
      <xdr:nvGraphicFramePr>
        <xdr:cNvPr id="14" name="Chart 13">
          <a:extLst>
            <a:ext uri="{FF2B5EF4-FFF2-40B4-BE49-F238E27FC236}">
              <a16:creationId xmlns:a16="http://schemas.microsoft.com/office/drawing/2014/main" id="{29FCE0DF-BC6A-0779-EB1B-40CFBBCBB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29</xdr:col>
      <xdr:colOff>571500</xdr:colOff>
      <xdr:row>329</xdr:row>
      <xdr:rowOff>152400</xdr:rowOff>
    </xdr:from>
    <xdr:to>
      <xdr:col>36</xdr:col>
      <xdr:colOff>558800</xdr:colOff>
      <xdr:row>343</xdr:row>
      <xdr:rowOff>38100</xdr:rowOff>
    </xdr:to>
    <xdr:graphicFrame macro="">
      <xdr:nvGraphicFramePr>
        <xdr:cNvPr id="16" name="Chart 15">
          <a:extLst>
            <a:ext uri="{FF2B5EF4-FFF2-40B4-BE49-F238E27FC236}">
              <a16:creationId xmlns:a16="http://schemas.microsoft.com/office/drawing/2014/main" id="{7273E8EE-6E09-B843-17A0-86FD59AD4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29</xdr:col>
      <xdr:colOff>330200</xdr:colOff>
      <xdr:row>369</xdr:row>
      <xdr:rowOff>152400</xdr:rowOff>
    </xdr:from>
    <xdr:to>
      <xdr:col>37</xdr:col>
      <xdr:colOff>0</xdr:colOff>
      <xdr:row>383</xdr:row>
      <xdr:rowOff>88900</xdr:rowOff>
    </xdr:to>
    <xdr:graphicFrame macro="">
      <xdr:nvGraphicFramePr>
        <xdr:cNvPr id="19" name="Chart 18">
          <a:extLst>
            <a:ext uri="{FF2B5EF4-FFF2-40B4-BE49-F238E27FC236}">
              <a16:creationId xmlns:a16="http://schemas.microsoft.com/office/drawing/2014/main" id="{1A70986A-23B7-A09B-362E-159F59081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698500</xdr:colOff>
      <xdr:row>369</xdr:row>
      <xdr:rowOff>127000</xdr:rowOff>
    </xdr:from>
    <xdr:to>
      <xdr:col>27</xdr:col>
      <xdr:colOff>101600</xdr:colOff>
      <xdr:row>383</xdr:row>
      <xdr:rowOff>25400</xdr:rowOff>
    </xdr:to>
    <xdr:graphicFrame macro="">
      <xdr:nvGraphicFramePr>
        <xdr:cNvPr id="20" name="Chart 19">
          <a:extLst>
            <a:ext uri="{FF2B5EF4-FFF2-40B4-BE49-F238E27FC236}">
              <a16:creationId xmlns:a16="http://schemas.microsoft.com/office/drawing/2014/main" id="{D45E2905-8F1D-1F37-80D1-BA25C5261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774700</xdr:colOff>
      <xdr:row>375</xdr:row>
      <xdr:rowOff>12700</xdr:rowOff>
    </xdr:from>
    <xdr:to>
      <xdr:col>9</xdr:col>
      <xdr:colOff>76200</xdr:colOff>
      <xdr:row>399</xdr:row>
      <xdr:rowOff>114300</xdr:rowOff>
    </xdr:to>
    <xdr:graphicFrame macro="">
      <xdr:nvGraphicFramePr>
        <xdr:cNvPr id="21" name="Chart 20">
          <a:extLst>
            <a:ext uri="{FF2B5EF4-FFF2-40B4-BE49-F238E27FC236}">
              <a16:creationId xmlns:a16="http://schemas.microsoft.com/office/drawing/2014/main" id="{79F44559-3B4D-58A7-B2D8-E332F6AA0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ables/table1.xml><?xml version="1.0" encoding="utf-8"?>
<table xmlns="http://schemas.openxmlformats.org/spreadsheetml/2006/main" id="1" name="Table1" displayName="Table1" ref="A1:AS1222" totalsRowShown="0" headerRowCellStyle="Accent5">
  <autoFilter ref="A1:AS1222"/>
  <tableColumns count="45">
    <tableColumn id="1" name="year" dataDxfId="7"/>
    <tableColumn id="2" name="mediation ID" dataDxfId="6"/>
    <tableColumn id="3" name="negotiation ID"/>
    <tableColumn id="4" name="conflict locale" dataDxfId="5"/>
    <tableColumn id="5" name="conflict sub-locale"/>
    <tableColumn id="6" name="locale Gleditsch ID"/>
    <tableColumn id="7" name="third-party" dataDxfId="4"/>
    <tableColumn id="8" name="third-party Gleditsch ID"/>
    <tableColumn id="9" name="location of neogitations"/>
    <tableColumn id="10" name="negotiation location Gleditsch ID"/>
    <tableColumn id="11" name="negotiation type" dataDxfId="3"/>
    <tableColumn id="12" name="leading actor" dataDxfId="2"/>
    <tableColumn id="13" name="leading actor 2" dataDxfId="1"/>
    <tableColumn id="14" name="leading actor 3" dataDxfId="0"/>
    <tableColumn id="15" name="good offices"/>
    <tableColumn id="16" name="mediation"/>
    <tableColumn id="17" name="hosting talks"/>
    <tableColumn id="18" name="negotiating and drafting"/>
    <tableColumn id="19" name="manipulating"/>
    <tableColumn id="20" name="humanitarian"/>
    <tableColumn id="21" name="witness/party to agreement"/>
    <tableColumn id="22" name="other"/>
    <tableColumn id="23" name="agreement"/>
    <tableColumn id="24" name="peace agreement"/>
    <tableColumn id="25" name="ceasfire agreement"/>
    <tableColumn id="26" name="agreement name"/>
    <tableColumn id="27" name="notes_1"/>
    <tableColumn id="28" name="source_1"/>
    <tableColumn id="29" name="note_2"/>
    <tableColumn id="30" name="source_2"/>
    <tableColumn id="31" name="note_3"/>
    <tableColumn id="32" name="source_3"/>
    <tableColumn id="33" name="note_4"/>
    <tableColumn id="34" name="source_4"/>
    <tableColumn id="35" name="note_5"/>
    <tableColumn id="36" name="source_5"/>
    <tableColumn id="37" name="Column1"/>
    <tableColumn id="38" name="Column2"/>
    <tableColumn id="39" name="Column3"/>
    <tableColumn id="40" name="Column4"/>
    <tableColumn id="41" name="Column5"/>
    <tableColumn id="42" name="Column6"/>
    <tableColumn id="43" name="Column7"/>
    <tableColumn id="44" name="Column8"/>
    <tableColumn id="45" name="Column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aceagreements.org/view/440/Machakos%20Protocol" TargetMode="External"/><Relationship Id="rId13" Type="http://schemas.openxmlformats.org/officeDocument/2006/relationships/hyperlink" Target="https://www.eeas.europa.eu/node/98646_fr" TargetMode="External"/><Relationship Id="rId3" Type="http://schemas.openxmlformats.org/officeDocument/2006/relationships/hyperlink" Target="https://www.peaceagreements.org/view/470/Nuba%20Mountains%20Ceasefire%20Agreement%20on%20Sudan" TargetMode="External"/><Relationship Id="rId7" Type="http://schemas.openxmlformats.org/officeDocument/2006/relationships/hyperlink" Target="https://www.peaceagreements.org/view/440/Machakos%20Protocol" TargetMode="External"/><Relationship Id="rId12" Type="http://schemas.openxmlformats.org/officeDocument/2006/relationships/hyperlink" Target="https://reliefweb.int/report/sudan/unamid-jsr-congratulates-sudanese-parties-formal-signing-peace-agreement" TargetMode="External"/><Relationship Id="rId2" Type="http://schemas.openxmlformats.org/officeDocument/2006/relationships/hyperlink" Target="https://www.peaceagreements.org/view/470/Nuba%20Mountains%20Ceasefire%20Agreement%20on%20Sudan" TargetMode="External"/><Relationship Id="rId1" Type="http://schemas.openxmlformats.org/officeDocument/2006/relationships/hyperlink" Target="https://www.peaceagreements.org/view/542/SPLM-United%20/%20Operation%20Lifeline%20Sudan%20Agreement%20on%20Ground%20Rules" TargetMode="External"/><Relationship Id="rId6" Type="http://schemas.openxmlformats.org/officeDocument/2006/relationships/hyperlink" Target="https://www.peaceagreements.org/view/440/Machakos%20Protocol" TargetMode="External"/><Relationship Id="rId11" Type="http://schemas.openxmlformats.org/officeDocument/2006/relationships/hyperlink" Target="https://reliefweb.int/report/sudan/wfp-and-government-sudan-hold-second-forum-curb-post-harvest-losses" TargetMode="External"/><Relationship Id="rId5" Type="http://schemas.openxmlformats.org/officeDocument/2006/relationships/hyperlink" Target="https://www.peaceagreements.org/view/440/Machakos%20Protocol" TargetMode="External"/><Relationship Id="rId15" Type="http://schemas.openxmlformats.org/officeDocument/2006/relationships/table" Target="../tables/table1.xml"/><Relationship Id="rId10" Type="http://schemas.openxmlformats.org/officeDocument/2006/relationships/hyperlink" Target="https://www.peaceagreements.org/viewmasterdocument/337" TargetMode="External"/><Relationship Id="rId4" Type="http://schemas.openxmlformats.org/officeDocument/2006/relationships/hyperlink" Target="https://www.peaceagreements.org/view/440/Machakos%20Protocol" TargetMode="External"/><Relationship Id="rId9" Type="http://schemas.openxmlformats.org/officeDocument/2006/relationships/hyperlink" Target="https://www.peaceagreements.org/viewmasterdocument/337" TargetMode="External"/><Relationship Id="rId14" Type="http://schemas.openxmlformats.org/officeDocument/2006/relationships/hyperlink" Target="https://reliefweb.int/report/south-sudan/three-day-conference-supported-unmiss-results-11-communities-reaching-pea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22"/>
  <sheetViews>
    <sheetView topLeftCell="L1" zoomScale="117" zoomScaleNormal="117" workbookViewId="0">
      <pane ySplit="1" topLeftCell="A5" activePane="bottomLeft" state="frozen"/>
      <selection pane="bottomLeft" activeCell="E21" sqref="E21"/>
    </sheetView>
  </sheetViews>
  <sheetFormatPr defaultColWidth="10.6640625" defaultRowHeight="15.5"/>
  <cols>
    <col min="2" max="2" width="14.33203125" customWidth="1"/>
    <col min="3" max="3" width="15.33203125" customWidth="1"/>
    <col min="4" max="4" width="14.83203125" customWidth="1"/>
    <col min="5" max="5" width="18.33203125" customWidth="1"/>
    <col min="6" max="6" width="18.83203125" customWidth="1"/>
    <col min="7" max="7" width="24.1640625" customWidth="1"/>
    <col min="8" max="8" width="23.1640625" customWidth="1"/>
    <col min="9" max="9" width="23" customWidth="1"/>
    <col min="10" max="10" width="30.33203125" customWidth="1"/>
    <col min="11" max="11" width="17.33203125" customWidth="1"/>
    <col min="12" max="12" width="22.6640625" customWidth="1"/>
    <col min="13" max="13" width="16.5" customWidth="1"/>
    <col min="14" max="14" width="17.1640625" customWidth="1"/>
    <col min="15" max="15" width="15" customWidth="1"/>
    <col min="16" max="16" width="16" customWidth="1"/>
    <col min="17" max="17" width="14.1640625" customWidth="1"/>
    <col min="18" max="18" width="23.83203125" customWidth="1"/>
    <col min="19" max="19" width="14.5" customWidth="1"/>
    <col min="20" max="20" width="15" customWidth="1"/>
    <col min="21" max="21" width="27.5" customWidth="1"/>
    <col min="23" max="23" width="13" customWidth="1"/>
    <col min="24" max="24" width="18.5" customWidth="1"/>
    <col min="25" max="25" width="20.33203125" customWidth="1"/>
    <col min="26" max="26" width="44.6640625" customWidth="1"/>
    <col min="27" max="27" width="42.5" customWidth="1"/>
    <col min="28" max="28" width="11.33203125" customWidth="1"/>
    <col min="29" max="29" width="35.83203125" customWidth="1"/>
    <col min="30" max="30" width="11.33203125" customWidth="1"/>
    <col min="31" max="31" width="32.1640625" customWidth="1"/>
    <col min="32" max="32" width="11.33203125" customWidth="1"/>
    <col min="33" max="33" width="32.83203125" customWidth="1"/>
    <col min="34" max="34" width="11.33203125" customWidth="1"/>
    <col min="35" max="35" width="32.1640625" customWidth="1"/>
    <col min="36" max="36" width="11.33203125" customWidth="1"/>
    <col min="37" max="37" width="32.33203125" customWidth="1"/>
    <col min="38" max="38" width="11" customWidth="1"/>
    <col min="39" max="39" width="32.1640625" customWidth="1"/>
    <col min="40" max="40" width="11" customWidth="1"/>
    <col min="41" max="41" width="32.5" customWidth="1"/>
    <col min="42" max="42" width="11" customWidth="1"/>
    <col min="43" max="43" width="32.33203125" customWidth="1"/>
    <col min="44" max="45" width="11" customWidth="1"/>
  </cols>
  <sheetData>
    <row r="1" spans="1:45" s="56" customFormat="1">
      <c r="A1" s="56" t="s">
        <v>0</v>
      </c>
      <c r="B1" s="56" t="s">
        <v>200</v>
      </c>
      <c r="C1" s="56" t="s">
        <v>199</v>
      </c>
      <c r="D1" s="56" t="s">
        <v>198</v>
      </c>
      <c r="E1" s="56" t="s">
        <v>6</v>
      </c>
      <c r="F1" s="56" t="s">
        <v>3</v>
      </c>
      <c r="G1" s="56" t="s">
        <v>4</v>
      </c>
      <c r="H1" s="56" t="s">
        <v>5</v>
      </c>
      <c r="I1" s="56" t="s">
        <v>1</v>
      </c>
      <c r="J1" s="56" t="s">
        <v>23</v>
      </c>
      <c r="K1" s="56" t="s">
        <v>2</v>
      </c>
      <c r="L1" s="57" t="s">
        <v>1212</v>
      </c>
      <c r="M1" s="56" t="s">
        <v>1192</v>
      </c>
      <c r="N1" s="56" t="s">
        <v>1193</v>
      </c>
      <c r="O1" s="56" t="s">
        <v>8</v>
      </c>
      <c r="P1" s="56" t="s">
        <v>9</v>
      </c>
      <c r="Q1" s="56" t="s">
        <v>10</v>
      </c>
      <c r="R1" s="56" t="s">
        <v>307</v>
      </c>
      <c r="S1" s="56" t="s">
        <v>11</v>
      </c>
      <c r="T1" s="56" t="s">
        <v>12</v>
      </c>
      <c r="U1" s="56" t="s">
        <v>13</v>
      </c>
      <c r="V1" s="56" t="s">
        <v>14</v>
      </c>
      <c r="W1" s="56" t="s">
        <v>15</v>
      </c>
      <c r="X1" s="56" t="s">
        <v>7</v>
      </c>
      <c r="Y1" s="56" t="s">
        <v>16</v>
      </c>
      <c r="Z1" s="56" t="s">
        <v>17</v>
      </c>
      <c r="AA1" s="56" t="s">
        <v>39</v>
      </c>
      <c r="AB1" s="56" t="s">
        <v>40</v>
      </c>
      <c r="AC1" s="56" t="s">
        <v>260</v>
      </c>
      <c r="AD1" s="56" t="s">
        <v>255</v>
      </c>
      <c r="AE1" s="56" t="s">
        <v>262</v>
      </c>
      <c r="AF1" s="56" t="s">
        <v>263</v>
      </c>
      <c r="AG1" s="56" t="s">
        <v>264</v>
      </c>
      <c r="AH1" s="56" t="s">
        <v>265</v>
      </c>
      <c r="AI1" s="56" t="s">
        <v>266</v>
      </c>
      <c r="AJ1" s="56" t="s">
        <v>267</v>
      </c>
      <c r="AK1" s="56" t="s">
        <v>1213</v>
      </c>
      <c r="AL1" s="56" t="s">
        <v>1214</v>
      </c>
      <c r="AM1" s="56" t="s">
        <v>1215</v>
      </c>
      <c r="AN1" s="56" t="s">
        <v>1216</v>
      </c>
      <c r="AO1" s="56" t="s">
        <v>1217</v>
      </c>
      <c r="AP1" s="56" t="s">
        <v>1218</v>
      </c>
      <c r="AQ1" s="56" t="s">
        <v>1219</v>
      </c>
      <c r="AR1" s="56" t="s">
        <v>1220</v>
      </c>
      <c r="AS1" s="56" t="s">
        <v>1221</v>
      </c>
    </row>
    <row r="2" spans="1:45">
      <c r="A2">
        <v>1988</v>
      </c>
      <c r="B2">
        <v>1</v>
      </c>
      <c r="D2" t="s">
        <v>60</v>
      </c>
      <c r="F2" t="s">
        <v>61</v>
      </c>
      <c r="G2" t="s">
        <v>22</v>
      </c>
      <c r="H2" t="s">
        <v>24</v>
      </c>
      <c r="I2" t="s">
        <v>22</v>
      </c>
      <c r="J2" t="s">
        <v>24</v>
      </c>
      <c r="K2" t="s">
        <v>65</v>
      </c>
      <c r="L2" t="s">
        <v>22</v>
      </c>
      <c r="O2">
        <v>0</v>
      </c>
      <c r="P2">
        <v>1</v>
      </c>
      <c r="Q2">
        <v>1</v>
      </c>
      <c r="R2">
        <v>1</v>
      </c>
      <c r="S2">
        <v>0</v>
      </c>
      <c r="T2">
        <v>0</v>
      </c>
      <c r="U2">
        <v>0</v>
      </c>
      <c r="V2">
        <v>0</v>
      </c>
      <c r="W2">
        <v>1</v>
      </c>
      <c r="X2">
        <v>1</v>
      </c>
      <c r="Y2">
        <v>0</v>
      </c>
      <c r="Z2" t="s">
        <v>1161</v>
      </c>
      <c r="AA2" s="8" t="s">
        <v>1160</v>
      </c>
      <c r="AB2" t="s">
        <v>21</v>
      </c>
    </row>
    <row r="3" spans="1:45">
      <c r="A3" s="8">
        <v>1989</v>
      </c>
      <c r="B3" s="8">
        <v>2</v>
      </c>
      <c r="C3" s="8"/>
      <c r="D3" s="8" t="s">
        <v>60</v>
      </c>
      <c r="E3" s="7"/>
      <c r="F3" t="s">
        <v>61</v>
      </c>
      <c r="G3" s="8" t="s">
        <v>37</v>
      </c>
      <c r="H3" s="7"/>
      <c r="I3" s="8"/>
      <c r="J3" s="7"/>
      <c r="K3" t="s">
        <v>41</v>
      </c>
      <c r="L3" t="s">
        <v>37</v>
      </c>
      <c r="O3">
        <v>0</v>
      </c>
      <c r="P3">
        <v>1</v>
      </c>
      <c r="Q3">
        <v>0</v>
      </c>
      <c r="R3">
        <v>0</v>
      </c>
      <c r="S3">
        <v>0</v>
      </c>
      <c r="T3">
        <v>0</v>
      </c>
      <c r="U3">
        <v>0</v>
      </c>
      <c r="V3">
        <v>0</v>
      </c>
      <c r="W3" s="8">
        <v>0</v>
      </c>
      <c r="X3">
        <v>0</v>
      </c>
      <c r="Y3">
        <v>0</v>
      </c>
      <c r="Z3" s="8"/>
      <c r="AA3" s="8" t="s">
        <v>1160</v>
      </c>
      <c r="AB3" t="s">
        <v>21</v>
      </c>
    </row>
    <row r="4" spans="1:45">
      <c r="A4" s="8">
        <v>1989</v>
      </c>
      <c r="B4" s="8">
        <v>3</v>
      </c>
      <c r="C4" s="8"/>
      <c r="D4" s="8" t="s">
        <v>60</v>
      </c>
      <c r="E4" s="7"/>
      <c r="F4" t="s">
        <v>61</v>
      </c>
      <c r="G4" s="8" t="s">
        <v>37</v>
      </c>
      <c r="H4" s="7"/>
      <c r="I4" s="8"/>
      <c r="J4" s="7"/>
      <c r="K4" t="s">
        <v>41</v>
      </c>
      <c r="L4" t="s">
        <v>37</v>
      </c>
      <c r="O4">
        <v>0</v>
      </c>
      <c r="P4">
        <v>1</v>
      </c>
      <c r="Q4">
        <v>0</v>
      </c>
      <c r="R4">
        <v>0</v>
      </c>
      <c r="S4">
        <v>0</v>
      </c>
      <c r="T4">
        <v>1</v>
      </c>
      <c r="U4">
        <v>0</v>
      </c>
      <c r="V4">
        <v>0</v>
      </c>
      <c r="W4" s="8">
        <v>1</v>
      </c>
      <c r="X4">
        <v>0</v>
      </c>
      <c r="Y4">
        <v>1</v>
      </c>
      <c r="Z4" s="8" t="s">
        <v>164</v>
      </c>
      <c r="AA4" s="8" t="s">
        <v>1162</v>
      </c>
      <c r="AB4" t="s">
        <v>21</v>
      </c>
    </row>
    <row r="5" spans="1:45">
      <c r="A5" s="8">
        <v>1990</v>
      </c>
      <c r="B5" s="8">
        <v>4</v>
      </c>
      <c r="C5" s="8"/>
      <c r="D5" s="8" t="s">
        <v>60</v>
      </c>
      <c r="E5" s="7"/>
      <c r="F5" t="s">
        <v>61</v>
      </c>
      <c r="G5" s="8" t="s">
        <v>193</v>
      </c>
      <c r="H5" s="8" t="s">
        <v>185</v>
      </c>
      <c r="I5" s="8" t="s">
        <v>60</v>
      </c>
      <c r="J5" t="s">
        <v>61</v>
      </c>
      <c r="K5" s="8" t="s">
        <v>65</v>
      </c>
      <c r="L5" s="8" t="s">
        <v>193</v>
      </c>
      <c r="M5" s="8"/>
      <c r="N5" s="8"/>
      <c r="O5">
        <v>1</v>
      </c>
      <c r="P5">
        <v>0</v>
      </c>
      <c r="Q5">
        <v>0</v>
      </c>
      <c r="R5">
        <v>1</v>
      </c>
      <c r="S5">
        <v>0</v>
      </c>
      <c r="T5">
        <v>0</v>
      </c>
      <c r="U5">
        <v>0</v>
      </c>
      <c r="V5">
        <v>0</v>
      </c>
      <c r="W5" s="8">
        <v>0</v>
      </c>
      <c r="X5">
        <v>0</v>
      </c>
      <c r="Y5">
        <v>0</v>
      </c>
      <c r="Z5" s="8"/>
      <c r="AA5" s="8" t="s">
        <v>1164</v>
      </c>
      <c r="AB5" t="s">
        <v>21</v>
      </c>
    </row>
    <row r="6" spans="1:45">
      <c r="A6" s="8">
        <v>1991</v>
      </c>
      <c r="B6" s="8">
        <v>5</v>
      </c>
      <c r="C6" s="8"/>
      <c r="D6" s="8" t="s">
        <v>60</v>
      </c>
      <c r="E6" s="7"/>
      <c r="F6" t="s">
        <v>61</v>
      </c>
      <c r="G6" s="8" t="s">
        <v>182</v>
      </c>
      <c r="H6" s="7"/>
      <c r="I6" s="8" t="s">
        <v>60</v>
      </c>
      <c r="J6" t="s">
        <v>61</v>
      </c>
      <c r="K6" t="s">
        <v>25</v>
      </c>
      <c r="L6" t="s">
        <v>182</v>
      </c>
      <c r="O6">
        <v>1</v>
      </c>
      <c r="P6">
        <v>0</v>
      </c>
      <c r="Q6">
        <v>0</v>
      </c>
      <c r="R6">
        <v>0</v>
      </c>
      <c r="S6">
        <v>0</v>
      </c>
      <c r="T6">
        <v>0</v>
      </c>
      <c r="U6">
        <v>0</v>
      </c>
      <c r="V6">
        <v>0</v>
      </c>
      <c r="W6" s="8">
        <v>0</v>
      </c>
      <c r="X6">
        <v>0</v>
      </c>
      <c r="Y6">
        <v>0</v>
      </c>
      <c r="Z6" s="8"/>
      <c r="AA6" s="8" t="s">
        <v>1163</v>
      </c>
      <c r="AB6" t="s">
        <v>21</v>
      </c>
    </row>
    <row r="7" spans="1:45">
      <c r="A7" s="8">
        <v>1991</v>
      </c>
      <c r="B7" s="8">
        <v>5</v>
      </c>
      <c r="C7" s="8"/>
      <c r="D7" s="8" t="s">
        <v>60</v>
      </c>
      <c r="E7" s="7"/>
      <c r="F7" t="s">
        <v>61</v>
      </c>
      <c r="G7" s="8" t="s">
        <v>151</v>
      </c>
      <c r="H7" s="8" t="s">
        <v>183</v>
      </c>
      <c r="I7" s="8" t="s">
        <v>60</v>
      </c>
      <c r="J7" t="s">
        <v>61</v>
      </c>
      <c r="K7" s="8" t="s">
        <v>25</v>
      </c>
      <c r="L7" s="8" t="s">
        <v>182</v>
      </c>
      <c r="M7" s="8"/>
      <c r="N7" s="8"/>
      <c r="O7">
        <v>1</v>
      </c>
      <c r="P7">
        <v>0</v>
      </c>
      <c r="Q7">
        <v>0</v>
      </c>
      <c r="R7">
        <v>0</v>
      </c>
      <c r="S7">
        <v>0</v>
      </c>
      <c r="T7">
        <v>0</v>
      </c>
      <c r="U7">
        <v>0</v>
      </c>
      <c r="V7">
        <v>0</v>
      </c>
      <c r="W7" s="8">
        <v>0</v>
      </c>
      <c r="X7">
        <v>0</v>
      </c>
      <c r="Y7">
        <v>0</v>
      </c>
      <c r="Z7" s="8"/>
      <c r="AA7" s="8" t="s">
        <v>1165</v>
      </c>
      <c r="AB7" t="s">
        <v>21</v>
      </c>
    </row>
    <row r="8" spans="1:45">
      <c r="A8" s="8">
        <v>1992</v>
      </c>
      <c r="B8" s="8">
        <v>6</v>
      </c>
      <c r="C8" s="8"/>
      <c r="D8" s="8" t="s">
        <v>60</v>
      </c>
      <c r="E8" s="7"/>
      <c r="F8" t="s">
        <v>61</v>
      </c>
      <c r="G8" s="8" t="s">
        <v>182</v>
      </c>
      <c r="H8" s="7"/>
      <c r="I8" s="8" t="s">
        <v>151</v>
      </c>
      <c r="J8" t="s">
        <v>183</v>
      </c>
      <c r="K8" t="s">
        <v>25</v>
      </c>
      <c r="L8" t="s">
        <v>151</v>
      </c>
      <c r="O8">
        <v>0</v>
      </c>
      <c r="P8">
        <v>1</v>
      </c>
      <c r="Q8">
        <v>1</v>
      </c>
      <c r="R8">
        <v>0</v>
      </c>
      <c r="S8">
        <v>0</v>
      </c>
      <c r="T8">
        <v>0</v>
      </c>
      <c r="U8">
        <v>0</v>
      </c>
      <c r="V8">
        <v>0</v>
      </c>
      <c r="W8" s="8">
        <v>1</v>
      </c>
      <c r="X8" s="8">
        <v>1</v>
      </c>
      <c r="Y8">
        <v>0</v>
      </c>
      <c r="Z8" s="8" t="s">
        <v>165</v>
      </c>
      <c r="AA8" s="23" t="s">
        <v>1166</v>
      </c>
      <c r="AB8" t="s">
        <v>21</v>
      </c>
    </row>
    <row r="9" spans="1:45">
      <c r="A9" s="8">
        <v>1992</v>
      </c>
      <c r="B9" s="8">
        <v>6</v>
      </c>
      <c r="C9" s="8"/>
      <c r="D9" s="8" t="s">
        <v>60</v>
      </c>
      <c r="E9" s="7"/>
      <c r="F9" t="s">
        <v>61</v>
      </c>
      <c r="G9" s="8" t="s">
        <v>151</v>
      </c>
      <c r="H9" s="8" t="s">
        <v>183</v>
      </c>
      <c r="I9" s="8" t="s">
        <v>151</v>
      </c>
      <c r="J9" t="s">
        <v>183</v>
      </c>
      <c r="K9" t="s">
        <v>25</v>
      </c>
      <c r="L9" t="s">
        <v>151</v>
      </c>
      <c r="O9">
        <v>0</v>
      </c>
      <c r="P9">
        <v>1</v>
      </c>
      <c r="Q9">
        <v>0</v>
      </c>
      <c r="R9">
        <v>0</v>
      </c>
      <c r="S9">
        <v>0</v>
      </c>
      <c r="T9">
        <v>0</v>
      </c>
      <c r="U9">
        <v>0</v>
      </c>
      <c r="V9">
        <v>0</v>
      </c>
      <c r="W9" s="8">
        <v>1</v>
      </c>
      <c r="X9" s="8">
        <v>1</v>
      </c>
      <c r="Y9">
        <v>0</v>
      </c>
      <c r="Z9" s="8" t="s">
        <v>165</v>
      </c>
      <c r="AA9" s="8" t="s">
        <v>1166</v>
      </c>
      <c r="AB9" t="s">
        <v>21</v>
      </c>
    </row>
    <row r="10" spans="1:45">
      <c r="A10" s="8">
        <v>1993</v>
      </c>
      <c r="B10" s="8">
        <v>7</v>
      </c>
      <c r="C10" s="8"/>
      <c r="D10" s="8" t="s">
        <v>60</v>
      </c>
      <c r="E10" s="7"/>
      <c r="F10" t="s">
        <v>61</v>
      </c>
      <c r="G10" s="8" t="s">
        <v>151</v>
      </c>
      <c r="H10" s="8" t="s">
        <v>183</v>
      </c>
      <c r="I10" s="8" t="s">
        <v>151</v>
      </c>
      <c r="J10" s="8" t="s">
        <v>183</v>
      </c>
      <c r="K10" s="8" t="s">
        <v>25</v>
      </c>
      <c r="L10" s="8" t="s">
        <v>151</v>
      </c>
      <c r="M10" s="8"/>
      <c r="N10" s="8"/>
      <c r="O10">
        <v>1</v>
      </c>
      <c r="P10">
        <v>0</v>
      </c>
      <c r="Q10">
        <v>1</v>
      </c>
      <c r="R10">
        <v>0</v>
      </c>
      <c r="S10">
        <v>0</v>
      </c>
      <c r="T10">
        <v>0</v>
      </c>
      <c r="U10">
        <v>0</v>
      </c>
      <c r="V10">
        <v>0</v>
      </c>
      <c r="W10" s="8">
        <v>1</v>
      </c>
      <c r="X10" s="8">
        <v>0</v>
      </c>
      <c r="Y10">
        <v>0</v>
      </c>
      <c r="AA10" s="10" t="s">
        <v>1167</v>
      </c>
      <c r="AB10" s="13" t="s">
        <v>256</v>
      </c>
    </row>
    <row r="11" spans="1:45">
      <c r="A11" s="8">
        <v>1993</v>
      </c>
      <c r="B11" s="8">
        <v>7</v>
      </c>
      <c r="C11" s="8"/>
      <c r="D11" s="8" t="s">
        <v>60</v>
      </c>
      <c r="E11" s="7"/>
      <c r="F11" t="s">
        <v>61</v>
      </c>
      <c r="G11" s="8" t="s">
        <v>35</v>
      </c>
      <c r="H11" s="8"/>
      <c r="I11" s="8" t="s">
        <v>151</v>
      </c>
      <c r="J11" s="8" t="s">
        <v>183</v>
      </c>
      <c r="K11" s="8" t="s">
        <v>25</v>
      </c>
      <c r="L11" s="8" t="s">
        <v>151</v>
      </c>
      <c r="M11" s="8"/>
      <c r="N11" s="8"/>
      <c r="O11">
        <v>1</v>
      </c>
      <c r="P11">
        <v>1</v>
      </c>
      <c r="Q11">
        <v>0</v>
      </c>
      <c r="R11">
        <v>1</v>
      </c>
      <c r="S11">
        <v>0</v>
      </c>
      <c r="T11">
        <v>0</v>
      </c>
      <c r="U11">
        <v>0</v>
      </c>
      <c r="V11">
        <v>0</v>
      </c>
      <c r="W11" s="8">
        <v>1</v>
      </c>
      <c r="X11" s="8">
        <v>0</v>
      </c>
      <c r="Y11">
        <v>0</v>
      </c>
      <c r="AA11" s="10" t="s">
        <v>1167</v>
      </c>
      <c r="AB11" s="13" t="s">
        <v>256</v>
      </c>
    </row>
    <row r="12" spans="1:45">
      <c r="A12" s="8">
        <v>1993</v>
      </c>
      <c r="B12" s="8">
        <v>358</v>
      </c>
      <c r="C12" s="8"/>
      <c r="D12" s="8" t="s">
        <v>60</v>
      </c>
      <c r="E12" s="7"/>
      <c r="F12" t="s">
        <v>61</v>
      </c>
      <c r="G12" s="8" t="s">
        <v>35</v>
      </c>
      <c r="H12" s="8"/>
      <c r="I12" s="8" t="s">
        <v>22</v>
      </c>
      <c r="J12" s="8" t="s">
        <v>24</v>
      </c>
      <c r="K12" s="8" t="s">
        <v>25</v>
      </c>
      <c r="L12" s="8" t="s">
        <v>35</v>
      </c>
      <c r="M12" s="8"/>
      <c r="N12" s="8"/>
      <c r="O12">
        <v>0</v>
      </c>
      <c r="P12">
        <v>1</v>
      </c>
      <c r="Q12">
        <v>0</v>
      </c>
      <c r="R12">
        <v>1</v>
      </c>
      <c r="S12">
        <v>0</v>
      </c>
      <c r="T12">
        <v>0</v>
      </c>
      <c r="U12">
        <v>0</v>
      </c>
      <c r="V12">
        <v>0</v>
      </c>
      <c r="W12" s="8">
        <v>0</v>
      </c>
      <c r="X12" s="8">
        <v>0</v>
      </c>
      <c r="Y12">
        <v>0</v>
      </c>
      <c r="AA12" s="14" t="s">
        <v>1168</v>
      </c>
      <c r="AB12" s="13" t="s">
        <v>258</v>
      </c>
      <c r="AD12" t="s">
        <v>257</v>
      </c>
    </row>
    <row r="13" spans="1:45">
      <c r="A13" s="8">
        <v>1994</v>
      </c>
      <c r="B13" s="8">
        <v>8</v>
      </c>
      <c r="C13" s="8"/>
      <c r="D13" s="8" t="s">
        <v>60</v>
      </c>
      <c r="E13" s="7"/>
      <c r="F13" t="s">
        <v>61</v>
      </c>
      <c r="G13" s="8" t="s">
        <v>35</v>
      </c>
      <c r="H13" s="7"/>
      <c r="I13" s="8" t="s">
        <v>152</v>
      </c>
      <c r="J13" t="s">
        <v>184</v>
      </c>
      <c r="K13" t="s">
        <v>25</v>
      </c>
      <c r="L13" s="8" t="s">
        <v>35</v>
      </c>
      <c r="M13" s="8"/>
      <c r="N13" s="8"/>
      <c r="O13">
        <v>1</v>
      </c>
      <c r="P13">
        <v>0</v>
      </c>
      <c r="Q13">
        <v>1</v>
      </c>
      <c r="R13">
        <v>0</v>
      </c>
      <c r="S13">
        <v>0</v>
      </c>
      <c r="T13">
        <v>0</v>
      </c>
      <c r="U13">
        <v>0</v>
      </c>
      <c r="V13">
        <v>0</v>
      </c>
      <c r="W13" s="8">
        <v>0</v>
      </c>
      <c r="X13">
        <v>0</v>
      </c>
      <c r="Y13">
        <v>0</v>
      </c>
      <c r="Z13" s="8"/>
      <c r="AA13" s="8" t="s">
        <v>1169</v>
      </c>
      <c r="AB13" t="s">
        <v>21</v>
      </c>
      <c r="AD13" s="13" t="s">
        <v>269</v>
      </c>
      <c r="AF13" t="s">
        <v>261</v>
      </c>
      <c r="AH13" t="s">
        <v>268</v>
      </c>
      <c r="AJ13" t="s">
        <v>257</v>
      </c>
    </row>
    <row r="14" spans="1:45">
      <c r="A14" s="8">
        <v>1994</v>
      </c>
      <c r="B14" s="8">
        <v>8</v>
      </c>
      <c r="C14" s="8"/>
      <c r="D14" s="8" t="s">
        <v>60</v>
      </c>
      <c r="E14" s="7"/>
      <c r="F14" t="s">
        <v>61</v>
      </c>
      <c r="G14" s="8" t="s">
        <v>152</v>
      </c>
      <c r="H14" s="8" t="s">
        <v>184</v>
      </c>
      <c r="I14" s="8" t="s">
        <v>152</v>
      </c>
      <c r="J14" t="s">
        <v>184</v>
      </c>
      <c r="K14" t="s">
        <v>25</v>
      </c>
      <c r="L14" t="s">
        <v>35</v>
      </c>
      <c r="O14">
        <v>1</v>
      </c>
      <c r="P14">
        <v>0</v>
      </c>
      <c r="Q14">
        <v>1</v>
      </c>
      <c r="R14">
        <v>0</v>
      </c>
      <c r="S14">
        <v>0</v>
      </c>
      <c r="T14">
        <v>0</v>
      </c>
      <c r="U14">
        <v>0</v>
      </c>
      <c r="V14">
        <v>0</v>
      </c>
      <c r="W14" s="8">
        <v>0</v>
      </c>
      <c r="X14">
        <v>0</v>
      </c>
      <c r="Y14">
        <v>0</v>
      </c>
      <c r="Z14" s="8"/>
      <c r="AA14" s="8" t="s">
        <v>1169</v>
      </c>
      <c r="AB14" t="s">
        <v>21</v>
      </c>
    </row>
    <row r="15" spans="1:45">
      <c r="A15" s="8">
        <v>1994</v>
      </c>
      <c r="B15" s="8">
        <v>8</v>
      </c>
      <c r="C15" s="8"/>
      <c r="D15" s="8" t="s">
        <v>60</v>
      </c>
      <c r="E15" s="7"/>
      <c r="F15" t="s">
        <v>61</v>
      </c>
      <c r="G15" s="8" t="s">
        <v>22</v>
      </c>
      <c r="H15" t="s">
        <v>24</v>
      </c>
      <c r="I15" s="8" t="s">
        <v>152</v>
      </c>
      <c r="J15" t="s">
        <v>184</v>
      </c>
      <c r="K15" t="s">
        <v>25</v>
      </c>
      <c r="L15" t="s">
        <v>35</v>
      </c>
      <c r="O15">
        <v>1</v>
      </c>
      <c r="P15">
        <v>0</v>
      </c>
      <c r="Q15">
        <v>0</v>
      </c>
      <c r="R15">
        <v>0</v>
      </c>
      <c r="S15">
        <v>0</v>
      </c>
      <c r="T15">
        <v>0</v>
      </c>
      <c r="U15">
        <v>0</v>
      </c>
      <c r="V15">
        <v>0</v>
      </c>
      <c r="W15" s="8">
        <v>0</v>
      </c>
      <c r="X15">
        <v>0</v>
      </c>
      <c r="Y15">
        <v>0</v>
      </c>
      <c r="Z15" s="8"/>
      <c r="AA15" s="8" t="s">
        <v>1169</v>
      </c>
      <c r="AB15" t="s">
        <v>21</v>
      </c>
    </row>
    <row r="16" spans="1:45">
      <c r="A16" s="8">
        <v>1994</v>
      </c>
      <c r="B16" s="8">
        <v>8</v>
      </c>
      <c r="C16" s="8"/>
      <c r="D16" s="8" t="s">
        <v>60</v>
      </c>
      <c r="E16" s="7"/>
      <c r="F16" t="s">
        <v>61</v>
      </c>
      <c r="G16" s="8" t="s">
        <v>191</v>
      </c>
      <c r="H16" s="8" t="s">
        <v>194</v>
      </c>
      <c r="I16" s="8" t="s">
        <v>152</v>
      </c>
      <c r="J16" t="s">
        <v>184</v>
      </c>
      <c r="K16" t="s">
        <v>25</v>
      </c>
      <c r="L16" t="s">
        <v>35</v>
      </c>
      <c r="O16">
        <v>1</v>
      </c>
      <c r="P16">
        <v>0</v>
      </c>
      <c r="Q16">
        <v>0</v>
      </c>
      <c r="R16">
        <v>0</v>
      </c>
      <c r="S16">
        <v>0</v>
      </c>
      <c r="T16">
        <v>0</v>
      </c>
      <c r="U16">
        <v>0</v>
      </c>
      <c r="V16">
        <v>0</v>
      </c>
      <c r="W16" s="8">
        <v>0</v>
      </c>
      <c r="X16">
        <v>0</v>
      </c>
      <c r="Y16">
        <v>0</v>
      </c>
      <c r="Z16" s="8"/>
      <c r="AA16" s="8" t="s">
        <v>1169</v>
      </c>
      <c r="AB16" t="s">
        <v>21</v>
      </c>
    </row>
    <row r="17" spans="1:30">
      <c r="A17" s="8">
        <v>1994</v>
      </c>
      <c r="B17" s="8">
        <v>8</v>
      </c>
      <c r="C17" s="8"/>
      <c r="D17" s="8" t="s">
        <v>60</v>
      </c>
      <c r="E17" s="7"/>
      <c r="F17" t="s">
        <v>61</v>
      </c>
      <c r="G17" s="8" t="s">
        <v>192</v>
      </c>
      <c r="H17" t="s">
        <v>195</v>
      </c>
      <c r="I17" s="8" t="s">
        <v>152</v>
      </c>
      <c r="J17" t="s">
        <v>184</v>
      </c>
      <c r="K17" t="s">
        <v>25</v>
      </c>
      <c r="L17" t="s">
        <v>35</v>
      </c>
      <c r="O17">
        <v>1</v>
      </c>
      <c r="P17">
        <v>0</v>
      </c>
      <c r="Q17">
        <v>0</v>
      </c>
      <c r="R17">
        <v>0</v>
      </c>
      <c r="S17">
        <v>0</v>
      </c>
      <c r="T17">
        <v>0</v>
      </c>
      <c r="U17">
        <v>0</v>
      </c>
      <c r="V17">
        <v>0</v>
      </c>
      <c r="W17" s="8">
        <v>0</v>
      </c>
      <c r="X17">
        <v>0</v>
      </c>
      <c r="Y17">
        <v>0</v>
      </c>
      <c r="Z17" s="8"/>
      <c r="AA17" s="8" t="s">
        <v>1169</v>
      </c>
      <c r="AB17" t="s">
        <v>21</v>
      </c>
    </row>
    <row r="18" spans="1:30">
      <c r="A18" s="8">
        <v>1994</v>
      </c>
      <c r="B18" s="8">
        <v>9</v>
      </c>
      <c r="C18" s="8"/>
      <c r="D18" s="8" t="s">
        <v>60</v>
      </c>
      <c r="E18" s="7"/>
      <c r="F18" t="s">
        <v>61</v>
      </c>
      <c r="G18" s="8" t="s">
        <v>35</v>
      </c>
      <c r="I18" s="8" t="s">
        <v>152</v>
      </c>
      <c r="J18" t="s">
        <v>184</v>
      </c>
      <c r="K18" t="s">
        <v>25</v>
      </c>
      <c r="L18" t="s">
        <v>35</v>
      </c>
      <c r="O18">
        <v>0</v>
      </c>
      <c r="P18">
        <v>1</v>
      </c>
      <c r="Q18">
        <v>1</v>
      </c>
      <c r="R18">
        <v>0</v>
      </c>
      <c r="S18">
        <v>0</v>
      </c>
      <c r="T18">
        <v>0</v>
      </c>
      <c r="U18">
        <v>0</v>
      </c>
      <c r="V18">
        <v>0</v>
      </c>
      <c r="W18" s="8">
        <v>0</v>
      </c>
      <c r="X18">
        <v>0</v>
      </c>
      <c r="Y18">
        <v>0</v>
      </c>
      <c r="Z18" s="8"/>
      <c r="AA18" s="8" t="s">
        <v>69</v>
      </c>
      <c r="AB18" t="s">
        <v>21</v>
      </c>
    </row>
    <row r="19" spans="1:30">
      <c r="A19" s="8">
        <v>1994</v>
      </c>
      <c r="B19" s="8">
        <v>9</v>
      </c>
      <c r="C19" s="8"/>
      <c r="D19" s="8" t="s">
        <v>60</v>
      </c>
      <c r="E19" s="7"/>
      <c r="F19" t="s">
        <v>61</v>
      </c>
      <c r="G19" s="8" t="s">
        <v>152</v>
      </c>
      <c r="H19" t="s">
        <v>184</v>
      </c>
      <c r="I19" s="8" t="s">
        <v>152</v>
      </c>
      <c r="J19" t="s">
        <v>184</v>
      </c>
      <c r="K19" t="s">
        <v>25</v>
      </c>
      <c r="L19" t="s">
        <v>35</v>
      </c>
      <c r="O19">
        <v>0</v>
      </c>
      <c r="P19">
        <v>1</v>
      </c>
      <c r="Q19">
        <v>1</v>
      </c>
      <c r="R19">
        <v>0</v>
      </c>
      <c r="S19">
        <v>0</v>
      </c>
      <c r="T19">
        <v>0</v>
      </c>
      <c r="U19">
        <v>0</v>
      </c>
      <c r="V19">
        <v>0</v>
      </c>
      <c r="W19" s="8">
        <v>0</v>
      </c>
      <c r="X19">
        <v>0</v>
      </c>
      <c r="Y19">
        <v>0</v>
      </c>
      <c r="Z19" s="8"/>
      <c r="AA19" s="8" t="s">
        <v>69</v>
      </c>
      <c r="AB19" t="s">
        <v>21</v>
      </c>
    </row>
    <row r="20" spans="1:30">
      <c r="A20" s="8">
        <v>1994</v>
      </c>
      <c r="B20" s="8">
        <v>9</v>
      </c>
      <c r="C20" s="8"/>
      <c r="D20" s="8" t="s">
        <v>60</v>
      </c>
      <c r="E20" s="7"/>
      <c r="F20" t="s">
        <v>61</v>
      </c>
      <c r="G20" s="8" t="s">
        <v>22</v>
      </c>
      <c r="H20" t="s">
        <v>24</v>
      </c>
      <c r="I20" s="8" t="s">
        <v>152</v>
      </c>
      <c r="J20" t="s">
        <v>184</v>
      </c>
      <c r="K20" t="s">
        <v>25</v>
      </c>
      <c r="L20" t="s">
        <v>35</v>
      </c>
      <c r="O20">
        <v>0</v>
      </c>
      <c r="P20">
        <v>1</v>
      </c>
      <c r="Q20">
        <v>0</v>
      </c>
      <c r="R20">
        <v>0</v>
      </c>
      <c r="S20">
        <v>0</v>
      </c>
      <c r="T20">
        <v>0</v>
      </c>
      <c r="U20">
        <v>0</v>
      </c>
      <c r="V20">
        <v>0</v>
      </c>
      <c r="W20" s="8">
        <v>0</v>
      </c>
      <c r="X20">
        <v>0</v>
      </c>
      <c r="Y20">
        <v>0</v>
      </c>
      <c r="Z20" s="8"/>
      <c r="AA20" s="8" t="s">
        <v>69</v>
      </c>
      <c r="AB20" t="s">
        <v>21</v>
      </c>
    </row>
    <row r="21" spans="1:30">
      <c r="A21" s="8">
        <v>1994</v>
      </c>
      <c r="B21" s="8">
        <v>9</v>
      </c>
      <c r="C21" s="8"/>
      <c r="D21" s="8" t="s">
        <v>60</v>
      </c>
      <c r="E21" s="7"/>
      <c r="F21" t="s">
        <v>61</v>
      </c>
      <c r="G21" s="8" t="s">
        <v>191</v>
      </c>
      <c r="H21" t="s">
        <v>194</v>
      </c>
      <c r="I21" s="8" t="s">
        <v>152</v>
      </c>
      <c r="J21" t="s">
        <v>184</v>
      </c>
      <c r="K21" t="s">
        <v>25</v>
      </c>
      <c r="L21" t="s">
        <v>35</v>
      </c>
      <c r="O21">
        <v>0</v>
      </c>
      <c r="P21">
        <v>1</v>
      </c>
      <c r="Q21">
        <v>0</v>
      </c>
      <c r="R21">
        <v>0</v>
      </c>
      <c r="S21">
        <v>0</v>
      </c>
      <c r="T21">
        <v>0</v>
      </c>
      <c r="U21">
        <v>0</v>
      </c>
      <c r="V21">
        <v>0</v>
      </c>
      <c r="W21" s="8">
        <v>0</v>
      </c>
      <c r="X21">
        <v>0</v>
      </c>
      <c r="Y21">
        <v>0</v>
      </c>
      <c r="Z21" s="8"/>
      <c r="AA21" s="8" t="s">
        <v>69</v>
      </c>
      <c r="AB21" t="s">
        <v>21</v>
      </c>
    </row>
    <row r="22" spans="1:30">
      <c r="A22" s="8">
        <v>1994</v>
      </c>
      <c r="B22" s="8">
        <v>9</v>
      </c>
      <c r="C22" s="8"/>
      <c r="D22" s="8" t="s">
        <v>60</v>
      </c>
      <c r="E22" s="7"/>
      <c r="F22" t="s">
        <v>61</v>
      </c>
      <c r="G22" s="8" t="s">
        <v>192</v>
      </c>
      <c r="H22" t="s">
        <v>195</v>
      </c>
      <c r="I22" s="8" t="s">
        <v>152</v>
      </c>
      <c r="J22" t="s">
        <v>184</v>
      </c>
      <c r="K22" t="s">
        <v>25</v>
      </c>
      <c r="L22" t="s">
        <v>35</v>
      </c>
      <c r="O22">
        <v>0</v>
      </c>
      <c r="P22">
        <v>1</v>
      </c>
      <c r="Q22">
        <v>0</v>
      </c>
      <c r="R22">
        <v>0</v>
      </c>
      <c r="S22">
        <v>0</v>
      </c>
      <c r="T22">
        <v>0</v>
      </c>
      <c r="U22">
        <v>0</v>
      </c>
      <c r="V22">
        <v>0</v>
      </c>
      <c r="W22" s="8">
        <v>0</v>
      </c>
      <c r="X22">
        <v>0</v>
      </c>
      <c r="Y22">
        <v>0</v>
      </c>
      <c r="Z22" s="8"/>
      <c r="AA22" s="8" t="s">
        <v>69</v>
      </c>
      <c r="AB22" t="s">
        <v>21</v>
      </c>
    </row>
    <row r="23" spans="1:30">
      <c r="A23" s="8">
        <v>1994</v>
      </c>
      <c r="B23" s="8">
        <v>10</v>
      </c>
      <c r="C23" s="8"/>
      <c r="D23" s="8" t="s">
        <v>60</v>
      </c>
      <c r="E23" s="7"/>
      <c r="F23" t="s">
        <v>61</v>
      </c>
      <c r="G23" s="8" t="s">
        <v>35</v>
      </c>
      <c r="H23" s="7"/>
      <c r="I23" s="8" t="s">
        <v>152</v>
      </c>
      <c r="J23" t="s">
        <v>184</v>
      </c>
      <c r="K23" t="s">
        <v>25</v>
      </c>
      <c r="L23" t="s">
        <v>35</v>
      </c>
      <c r="O23">
        <v>0</v>
      </c>
      <c r="P23">
        <v>1</v>
      </c>
      <c r="Q23">
        <v>1</v>
      </c>
      <c r="R23">
        <v>0</v>
      </c>
      <c r="S23">
        <v>0</v>
      </c>
      <c r="T23">
        <v>0</v>
      </c>
      <c r="U23">
        <v>0</v>
      </c>
      <c r="V23">
        <v>0</v>
      </c>
      <c r="W23" s="8">
        <v>0</v>
      </c>
      <c r="X23">
        <v>0</v>
      </c>
      <c r="Y23">
        <v>0</v>
      </c>
      <c r="Z23" s="8"/>
      <c r="AA23" s="8" t="s">
        <v>70</v>
      </c>
      <c r="AB23" t="s">
        <v>21</v>
      </c>
    </row>
    <row r="24" spans="1:30">
      <c r="A24" s="8">
        <v>1994</v>
      </c>
      <c r="B24" s="8">
        <v>10</v>
      </c>
      <c r="C24" s="8"/>
      <c r="D24" s="8" t="s">
        <v>60</v>
      </c>
      <c r="E24" s="7"/>
      <c r="F24" t="s">
        <v>61</v>
      </c>
      <c r="G24" s="8" t="s">
        <v>152</v>
      </c>
      <c r="H24" t="s">
        <v>184</v>
      </c>
      <c r="I24" s="8" t="s">
        <v>152</v>
      </c>
      <c r="J24" t="s">
        <v>184</v>
      </c>
      <c r="K24" s="8" t="s">
        <v>25</v>
      </c>
      <c r="L24" t="s">
        <v>35</v>
      </c>
      <c r="O24">
        <v>0</v>
      </c>
      <c r="P24">
        <v>1</v>
      </c>
      <c r="Q24">
        <v>1</v>
      </c>
      <c r="R24">
        <v>0</v>
      </c>
      <c r="S24">
        <v>0</v>
      </c>
      <c r="T24">
        <v>0</v>
      </c>
      <c r="U24">
        <v>0</v>
      </c>
      <c r="V24">
        <v>0</v>
      </c>
      <c r="W24" s="8">
        <v>0</v>
      </c>
      <c r="X24">
        <v>0</v>
      </c>
      <c r="Y24">
        <v>0</v>
      </c>
      <c r="Z24" s="8"/>
      <c r="AA24" s="8" t="s">
        <v>70</v>
      </c>
      <c r="AB24" t="s">
        <v>21</v>
      </c>
    </row>
    <row r="25" spans="1:30">
      <c r="A25" s="8">
        <v>1994</v>
      </c>
      <c r="B25" s="8">
        <v>10</v>
      </c>
      <c r="C25" s="8"/>
      <c r="D25" s="8" t="s">
        <v>60</v>
      </c>
      <c r="E25" s="7"/>
      <c r="F25" t="s">
        <v>61</v>
      </c>
      <c r="G25" s="8" t="s">
        <v>22</v>
      </c>
      <c r="H25" t="s">
        <v>24</v>
      </c>
      <c r="I25" s="8" t="s">
        <v>152</v>
      </c>
      <c r="J25" t="s">
        <v>184</v>
      </c>
      <c r="K25" s="8" t="s">
        <v>25</v>
      </c>
      <c r="L25" t="s">
        <v>35</v>
      </c>
      <c r="O25">
        <v>0</v>
      </c>
      <c r="P25">
        <v>1</v>
      </c>
      <c r="Q25">
        <v>0</v>
      </c>
      <c r="R25">
        <v>0</v>
      </c>
      <c r="S25">
        <v>0</v>
      </c>
      <c r="T25">
        <v>0</v>
      </c>
      <c r="U25">
        <v>0</v>
      </c>
      <c r="V25">
        <v>0</v>
      </c>
      <c r="W25" s="8">
        <v>0</v>
      </c>
      <c r="X25">
        <v>0</v>
      </c>
      <c r="Y25">
        <v>0</v>
      </c>
      <c r="Z25" s="8"/>
      <c r="AA25" s="8" t="s">
        <v>70</v>
      </c>
      <c r="AB25" t="s">
        <v>21</v>
      </c>
    </row>
    <row r="26" spans="1:30">
      <c r="A26" s="8">
        <v>1994</v>
      </c>
      <c r="B26" s="8">
        <v>10</v>
      </c>
      <c r="C26" s="8"/>
      <c r="D26" s="8" t="s">
        <v>60</v>
      </c>
      <c r="E26" s="7"/>
      <c r="F26" t="s">
        <v>61</v>
      </c>
      <c r="G26" s="8" t="s">
        <v>191</v>
      </c>
      <c r="H26" t="s">
        <v>194</v>
      </c>
      <c r="I26" s="8" t="s">
        <v>152</v>
      </c>
      <c r="J26" t="s">
        <v>184</v>
      </c>
      <c r="K26" s="8" t="s">
        <v>25</v>
      </c>
      <c r="L26" t="s">
        <v>35</v>
      </c>
      <c r="O26">
        <v>0</v>
      </c>
      <c r="P26">
        <v>1</v>
      </c>
      <c r="Q26">
        <v>0</v>
      </c>
      <c r="R26">
        <v>0</v>
      </c>
      <c r="S26">
        <v>0</v>
      </c>
      <c r="T26">
        <v>0</v>
      </c>
      <c r="U26">
        <v>0</v>
      </c>
      <c r="V26">
        <v>0</v>
      </c>
      <c r="W26" s="8">
        <v>0</v>
      </c>
      <c r="X26">
        <v>0</v>
      </c>
      <c r="Y26">
        <v>0</v>
      </c>
      <c r="Z26" s="8"/>
      <c r="AA26" s="8" t="s">
        <v>70</v>
      </c>
      <c r="AB26" t="s">
        <v>21</v>
      </c>
    </row>
    <row r="27" spans="1:30">
      <c r="A27" s="8">
        <v>1994</v>
      </c>
      <c r="B27" s="8">
        <v>10</v>
      </c>
      <c r="C27" s="8"/>
      <c r="D27" s="8" t="s">
        <v>60</v>
      </c>
      <c r="E27" s="7"/>
      <c r="F27" t="s">
        <v>61</v>
      </c>
      <c r="G27" s="8" t="s">
        <v>192</v>
      </c>
      <c r="H27" t="s">
        <v>195</v>
      </c>
      <c r="I27" s="8" t="s">
        <v>152</v>
      </c>
      <c r="J27" t="s">
        <v>184</v>
      </c>
      <c r="K27" s="8" t="s">
        <v>25</v>
      </c>
      <c r="L27" t="s">
        <v>35</v>
      </c>
      <c r="O27">
        <v>0</v>
      </c>
      <c r="P27">
        <v>1</v>
      </c>
      <c r="Q27">
        <v>0</v>
      </c>
      <c r="R27">
        <v>0</v>
      </c>
      <c r="S27">
        <v>0</v>
      </c>
      <c r="T27">
        <v>0</v>
      </c>
      <c r="U27">
        <v>0</v>
      </c>
      <c r="V27">
        <v>0</v>
      </c>
      <c r="W27" s="8">
        <v>0</v>
      </c>
      <c r="X27">
        <v>0</v>
      </c>
      <c r="Y27">
        <v>0</v>
      </c>
      <c r="Z27" s="8"/>
      <c r="AA27" s="8" t="s">
        <v>70</v>
      </c>
      <c r="AB27" t="s">
        <v>21</v>
      </c>
    </row>
    <row r="28" spans="1:30">
      <c r="A28" s="8">
        <v>1994</v>
      </c>
      <c r="B28" s="8">
        <v>11</v>
      </c>
      <c r="C28" s="8"/>
      <c r="D28" s="8" t="s">
        <v>60</v>
      </c>
      <c r="E28" s="7"/>
      <c r="F28" t="s">
        <v>61</v>
      </c>
      <c r="G28" s="8" t="s">
        <v>35</v>
      </c>
      <c r="H28" s="7"/>
      <c r="I28" s="8" t="s">
        <v>152</v>
      </c>
      <c r="J28" t="s">
        <v>184</v>
      </c>
      <c r="K28" s="8" t="s">
        <v>25</v>
      </c>
      <c r="L28" s="8" t="s">
        <v>35</v>
      </c>
      <c r="M28" s="8"/>
      <c r="N28" s="8"/>
      <c r="O28">
        <v>0</v>
      </c>
      <c r="P28">
        <v>0</v>
      </c>
      <c r="Q28">
        <v>1</v>
      </c>
      <c r="R28">
        <v>1</v>
      </c>
      <c r="S28">
        <v>0</v>
      </c>
      <c r="T28">
        <v>0</v>
      </c>
      <c r="U28">
        <v>0</v>
      </c>
      <c r="V28">
        <v>0</v>
      </c>
      <c r="W28" s="8">
        <v>1</v>
      </c>
      <c r="X28">
        <v>0</v>
      </c>
      <c r="Y28">
        <v>0</v>
      </c>
      <c r="Z28" s="8" t="s">
        <v>270</v>
      </c>
      <c r="AA28" s="8" t="s">
        <v>71</v>
      </c>
      <c r="AB28" t="s">
        <v>21</v>
      </c>
    </row>
    <row r="29" spans="1:30">
      <c r="A29" s="8">
        <v>1994</v>
      </c>
      <c r="B29" s="8">
        <v>11</v>
      </c>
      <c r="C29" s="8"/>
      <c r="D29" s="8" t="s">
        <v>60</v>
      </c>
      <c r="E29" s="7"/>
      <c r="F29" t="s">
        <v>61</v>
      </c>
      <c r="G29" s="8" t="s">
        <v>152</v>
      </c>
      <c r="H29" t="s">
        <v>184</v>
      </c>
      <c r="I29" s="8" t="s">
        <v>152</v>
      </c>
      <c r="J29" t="s">
        <v>184</v>
      </c>
      <c r="K29" s="8" t="s">
        <v>25</v>
      </c>
      <c r="L29" t="s">
        <v>35</v>
      </c>
      <c r="O29">
        <v>0</v>
      </c>
      <c r="P29">
        <v>0</v>
      </c>
      <c r="Q29">
        <v>1</v>
      </c>
      <c r="R29">
        <v>1</v>
      </c>
      <c r="S29">
        <v>0</v>
      </c>
      <c r="T29">
        <v>0</v>
      </c>
      <c r="U29">
        <v>0</v>
      </c>
      <c r="V29">
        <v>0</v>
      </c>
      <c r="W29" s="8">
        <v>1</v>
      </c>
      <c r="X29">
        <v>0</v>
      </c>
      <c r="Y29">
        <v>0</v>
      </c>
      <c r="Z29" s="8" t="s">
        <v>270</v>
      </c>
      <c r="AA29" s="8" t="s">
        <v>71</v>
      </c>
      <c r="AB29" t="s">
        <v>21</v>
      </c>
    </row>
    <row r="30" spans="1:30">
      <c r="A30" s="8">
        <v>1994</v>
      </c>
      <c r="B30" s="8">
        <v>11</v>
      </c>
      <c r="C30" s="8"/>
      <c r="D30" s="8" t="s">
        <v>60</v>
      </c>
      <c r="E30" s="7"/>
      <c r="F30" t="s">
        <v>61</v>
      </c>
      <c r="G30" s="8" t="s">
        <v>22</v>
      </c>
      <c r="H30" t="s">
        <v>24</v>
      </c>
      <c r="I30" s="8" t="s">
        <v>152</v>
      </c>
      <c r="J30" t="s">
        <v>184</v>
      </c>
      <c r="K30" s="8" t="s">
        <v>25</v>
      </c>
      <c r="L30" t="s">
        <v>35</v>
      </c>
      <c r="O30">
        <v>0</v>
      </c>
      <c r="P30">
        <v>0</v>
      </c>
      <c r="Q30">
        <v>0</v>
      </c>
      <c r="R30">
        <v>1</v>
      </c>
      <c r="S30">
        <v>1</v>
      </c>
      <c r="T30">
        <v>0</v>
      </c>
      <c r="U30">
        <v>0</v>
      </c>
      <c r="V30">
        <v>0</v>
      </c>
      <c r="W30" s="8">
        <v>1</v>
      </c>
      <c r="X30">
        <v>0</v>
      </c>
      <c r="Y30">
        <v>0</v>
      </c>
      <c r="Z30" s="8" t="s">
        <v>270</v>
      </c>
      <c r="AA30" s="8" t="s">
        <v>71</v>
      </c>
      <c r="AB30" t="s">
        <v>21</v>
      </c>
      <c r="AC30" s="15" t="s">
        <v>259</v>
      </c>
      <c r="AD30" s="10" t="s">
        <v>261</v>
      </c>
    </row>
    <row r="31" spans="1:30">
      <c r="A31" s="8">
        <v>1994</v>
      </c>
      <c r="B31" s="8">
        <v>11</v>
      </c>
      <c r="C31" s="8"/>
      <c r="D31" s="8" t="s">
        <v>60</v>
      </c>
      <c r="E31" s="7"/>
      <c r="F31" t="s">
        <v>61</v>
      </c>
      <c r="G31" s="8" t="s">
        <v>191</v>
      </c>
      <c r="H31" t="s">
        <v>194</v>
      </c>
      <c r="I31" s="8" t="s">
        <v>152</v>
      </c>
      <c r="J31" t="s">
        <v>184</v>
      </c>
      <c r="K31" s="8" t="s">
        <v>25</v>
      </c>
      <c r="L31" t="s">
        <v>35</v>
      </c>
      <c r="O31">
        <v>0</v>
      </c>
      <c r="P31">
        <v>0</v>
      </c>
      <c r="Q31">
        <v>0</v>
      </c>
      <c r="R31">
        <v>1</v>
      </c>
      <c r="S31">
        <v>0</v>
      </c>
      <c r="T31">
        <v>0</v>
      </c>
      <c r="U31">
        <v>0</v>
      </c>
      <c r="V31">
        <v>0</v>
      </c>
      <c r="W31" s="8">
        <v>1</v>
      </c>
      <c r="X31">
        <v>0</v>
      </c>
      <c r="Y31">
        <v>0</v>
      </c>
      <c r="Z31" s="8" t="s">
        <v>270</v>
      </c>
      <c r="AA31" s="8" t="s">
        <v>71</v>
      </c>
      <c r="AB31" t="s">
        <v>21</v>
      </c>
    </row>
    <row r="32" spans="1:30">
      <c r="A32" s="8">
        <v>1994</v>
      </c>
      <c r="B32" s="8">
        <v>11</v>
      </c>
      <c r="C32" s="8"/>
      <c r="D32" s="8" t="s">
        <v>60</v>
      </c>
      <c r="E32" s="7"/>
      <c r="F32" t="s">
        <v>61</v>
      </c>
      <c r="G32" s="8" t="s">
        <v>192</v>
      </c>
      <c r="H32" t="s">
        <v>195</v>
      </c>
      <c r="I32" s="8" t="s">
        <v>152</v>
      </c>
      <c r="J32" t="s">
        <v>184</v>
      </c>
      <c r="K32" s="8" t="s">
        <v>25</v>
      </c>
      <c r="L32" t="s">
        <v>35</v>
      </c>
      <c r="O32">
        <v>0</v>
      </c>
      <c r="P32">
        <v>0</v>
      </c>
      <c r="Q32">
        <v>0</v>
      </c>
      <c r="R32">
        <v>1</v>
      </c>
      <c r="S32">
        <v>0</v>
      </c>
      <c r="T32">
        <v>0</v>
      </c>
      <c r="U32">
        <v>0</v>
      </c>
      <c r="V32">
        <v>0</v>
      </c>
      <c r="W32" s="8">
        <v>1</v>
      </c>
      <c r="X32">
        <v>0</v>
      </c>
      <c r="Y32">
        <v>0</v>
      </c>
      <c r="Z32" s="8" t="s">
        <v>270</v>
      </c>
      <c r="AA32" s="8" t="s">
        <v>71</v>
      </c>
      <c r="AB32" t="s">
        <v>21</v>
      </c>
    </row>
    <row r="33" spans="1:32">
      <c r="A33" s="8">
        <v>1994</v>
      </c>
      <c r="B33" s="8">
        <v>12</v>
      </c>
      <c r="C33" s="8"/>
      <c r="D33" s="8" t="s">
        <v>60</v>
      </c>
      <c r="E33" s="7"/>
      <c r="F33" t="s">
        <v>61</v>
      </c>
      <c r="G33" s="8" t="s">
        <v>35</v>
      </c>
      <c r="H33" s="7"/>
      <c r="I33" s="8" t="s">
        <v>152</v>
      </c>
      <c r="J33" t="s">
        <v>184</v>
      </c>
      <c r="K33" s="8" t="s">
        <v>25</v>
      </c>
      <c r="L33" s="8" t="s">
        <v>35</v>
      </c>
      <c r="M33" s="8"/>
      <c r="N33" s="8"/>
      <c r="O33">
        <v>0</v>
      </c>
      <c r="P33">
        <v>1</v>
      </c>
      <c r="Q33">
        <v>1</v>
      </c>
      <c r="R33">
        <v>0</v>
      </c>
      <c r="S33">
        <v>0</v>
      </c>
      <c r="T33">
        <v>0</v>
      </c>
      <c r="U33">
        <v>0</v>
      </c>
      <c r="V33">
        <v>0</v>
      </c>
      <c r="W33" s="8">
        <v>1</v>
      </c>
      <c r="X33">
        <v>0</v>
      </c>
      <c r="Y33">
        <v>1</v>
      </c>
      <c r="Z33" s="8" t="s">
        <v>164</v>
      </c>
      <c r="AA33" s="8" t="s">
        <v>72</v>
      </c>
      <c r="AB33" t="s">
        <v>21</v>
      </c>
    </row>
    <row r="34" spans="1:32">
      <c r="A34" s="8">
        <v>1994</v>
      </c>
      <c r="B34" s="8">
        <v>12</v>
      </c>
      <c r="C34" s="8"/>
      <c r="D34" s="8" t="s">
        <v>60</v>
      </c>
      <c r="E34" s="7"/>
      <c r="F34" t="s">
        <v>61</v>
      </c>
      <c r="G34" s="8" t="s">
        <v>152</v>
      </c>
      <c r="H34" t="s">
        <v>184</v>
      </c>
      <c r="I34" s="8" t="s">
        <v>152</v>
      </c>
      <c r="J34" t="s">
        <v>184</v>
      </c>
      <c r="K34" s="8" t="s">
        <v>25</v>
      </c>
      <c r="L34" t="s">
        <v>35</v>
      </c>
      <c r="O34">
        <v>0</v>
      </c>
      <c r="P34">
        <v>1</v>
      </c>
      <c r="Q34">
        <v>1</v>
      </c>
      <c r="R34">
        <v>0</v>
      </c>
      <c r="S34">
        <v>0</v>
      </c>
      <c r="T34">
        <v>0</v>
      </c>
      <c r="U34">
        <v>0</v>
      </c>
      <c r="V34">
        <v>0</v>
      </c>
      <c r="W34" s="8">
        <v>1</v>
      </c>
      <c r="X34">
        <v>0</v>
      </c>
      <c r="Y34">
        <v>1</v>
      </c>
      <c r="Z34" s="8" t="s">
        <v>164</v>
      </c>
      <c r="AA34" s="8" t="s">
        <v>72</v>
      </c>
      <c r="AB34" t="s">
        <v>21</v>
      </c>
    </row>
    <row r="35" spans="1:32">
      <c r="A35" s="8">
        <v>1994</v>
      </c>
      <c r="B35" s="8">
        <v>12</v>
      </c>
      <c r="C35" s="8"/>
      <c r="D35" s="8" t="s">
        <v>60</v>
      </c>
      <c r="E35" s="7"/>
      <c r="F35" t="s">
        <v>61</v>
      </c>
      <c r="G35" s="8" t="s">
        <v>22</v>
      </c>
      <c r="H35" t="s">
        <v>24</v>
      </c>
      <c r="I35" s="8" t="s">
        <v>152</v>
      </c>
      <c r="J35" t="s">
        <v>184</v>
      </c>
      <c r="K35" s="8" t="s">
        <v>25</v>
      </c>
      <c r="L35" t="s">
        <v>35</v>
      </c>
      <c r="O35">
        <v>0</v>
      </c>
      <c r="P35">
        <v>1</v>
      </c>
      <c r="Q35">
        <v>0</v>
      </c>
      <c r="R35">
        <v>0</v>
      </c>
      <c r="S35">
        <v>0</v>
      </c>
      <c r="T35">
        <v>0</v>
      </c>
      <c r="U35">
        <v>0</v>
      </c>
      <c r="V35">
        <v>0</v>
      </c>
      <c r="W35" s="8">
        <v>1</v>
      </c>
      <c r="X35">
        <v>0</v>
      </c>
      <c r="Y35">
        <v>1</v>
      </c>
      <c r="Z35" s="8" t="s">
        <v>164</v>
      </c>
      <c r="AA35" s="8" t="s">
        <v>72</v>
      </c>
      <c r="AB35" t="s">
        <v>21</v>
      </c>
    </row>
    <row r="36" spans="1:32">
      <c r="A36" s="8">
        <v>1994</v>
      </c>
      <c r="B36" s="8">
        <v>12</v>
      </c>
      <c r="C36" s="8"/>
      <c r="D36" s="8" t="s">
        <v>60</v>
      </c>
      <c r="E36" s="7"/>
      <c r="F36" t="s">
        <v>61</v>
      </c>
      <c r="G36" s="8" t="s">
        <v>191</v>
      </c>
      <c r="H36" t="s">
        <v>194</v>
      </c>
      <c r="I36" s="8" t="s">
        <v>152</v>
      </c>
      <c r="J36" t="s">
        <v>184</v>
      </c>
      <c r="K36" s="8" t="s">
        <v>25</v>
      </c>
      <c r="L36" t="s">
        <v>35</v>
      </c>
      <c r="O36">
        <v>0</v>
      </c>
      <c r="P36">
        <v>1</v>
      </c>
      <c r="Q36">
        <v>0</v>
      </c>
      <c r="R36">
        <v>0</v>
      </c>
      <c r="S36">
        <v>0</v>
      </c>
      <c r="T36">
        <v>0</v>
      </c>
      <c r="U36">
        <v>0</v>
      </c>
      <c r="V36">
        <v>0</v>
      </c>
      <c r="W36" s="8">
        <v>1</v>
      </c>
      <c r="X36">
        <v>0</v>
      </c>
      <c r="Y36">
        <v>1</v>
      </c>
      <c r="Z36" s="8" t="s">
        <v>164</v>
      </c>
      <c r="AA36" s="8" t="s">
        <v>72</v>
      </c>
      <c r="AB36" t="s">
        <v>21</v>
      </c>
    </row>
    <row r="37" spans="1:32">
      <c r="A37" s="8">
        <v>1994</v>
      </c>
      <c r="B37" s="8">
        <v>12</v>
      </c>
      <c r="C37" s="8"/>
      <c r="D37" s="8" t="s">
        <v>60</v>
      </c>
      <c r="E37" s="7"/>
      <c r="F37" t="s">
        <v>61</v>
      </c>
      <c r="G37" s="8" t="s">
        <v>192</v>
      </c>
      <c r="H37" t="s">
        <v>195</v>
      </c>
      <c r="I37" s="8" t="s">
        <v>152</v>
      </c>
      <c r="J37" t="s">
        <v>184</v>
      </c>
      <c r="K37" s="8" t="s">
        <v>25</v>
      </c>
      <c r="L37" t="s">
        <v>35</v>
      </c>
      <c r="O37">
        <v>0</v>
      </c>
      <c r="P37">
        <v>1</v>
      </c>
      <c r="Q37">
        <v>0</v>
      </c>
      <c r="R37">
        <v>0</v>
      </c>
      <c r="S37">
        <v>0</v>
      </c>
      <c r="T37">
        <v>0</v>
      </c>
      <c r="U37">
        <v>0</v>
      </c>
      <c r="V37">
        <v>0</v>
      </c>
      <c r="W37" s="8">
        <v>1</v>
      </c>
      <c r="X37">
        <v>0</v>
      </c>
      <c r="Y37">
        <v>1</v>
      </c>
      <c r="Z37" s="8" t="s">
        <v>164</v>
      </c>
      <c r="AA37" s="8" t="s">
        <v>72</v>
      </c>
      <c r="AB37" t="s">
        <v>21</v>
      </c>
    </row>
    <row r="38" spans="1:32">
      <c r="A38" s="8">
        <v>1994</v>
      </c>
      <c r="B38" s="8">
        <v>13</v>
      </c>
      <c r="C38" s="8"/>
      <c r="D38" s="8" t="s">
        <v>60</v>
      </c>
      <c r="E38" s="7"/>
      <c r="F38" t="s">
        <v>61</v>
      </c>
      <c r="G38" s="8" t="s">
        <v>35</v>
      </c>
      <c r="H38" s="7"/>
      <c r="I38" s="8" t="s">
        <v>152</v>
      </c>
      <c r="J38" t="s">
        <v>184</v>
      </c>
      <c r="K38" s="8" t="s">
        <v>25</v>
      </c>
      <c r="L38" s="8" t="s">
        <v>35</v>
      </c>
      <c r="M38" s="8"/>
      <c r="N38" s="8"/>
      <c r="O38">
        <v>0</v>
      </c>
      <c r="P38">
        <v>1</v>
      </c>
      <c r="Q38">
        <v>1</v>
      </c>
      <c r="R38">
        <v>0</v>
      </c>
      <c r="S38">
        <v>0</v>
      </c>
      <c r="T38">
        <v>0</v>
      </c>
      <c r="U38">
        <v>0</v>
      </c>
      <c r="V38">
        <v>0</v>
      </c>
      <c r="W38" s="8">
        <v>0</v>
      </c>
      <c r="X38">
        <v>0</v>
      </c>
      <c r="Y38">
        <v>0</v>
      </c>
      <c r="Z38" s="8"/>
      <c r="AA38" s="8" t="s">
        <v>73</v>
      </c>
      <c r="AB38" t="s">
        <v>21</v>
      </c>
    </row>
    <row r="39" spans="1:32">
      <c r="A39" s="8">
        <v>1994</v>
      </c>
      <c r="B39" s="8">
        <v>13</v>
      </c>
      <c r="C39" s="8"/>
      <c r="D39" s="8" t="s">
        <v>60</v>
      </c>
      <c r="E39" s="7"/>
      <c r="F39" t="s">
        <v>61</v>
      </c>
      <c r="G39" s="8" t="s">
        <v>152</v>
      </c>
      <c r="H39" t="s">
        <v>184</v>
      </c>
      <c r="I39" s="8" t="s">
        <v>152</v>
      </c>
      <c r="J39" t="s">
        <v>184</v>
      </c>
      <c r="K39" s="8" t="s">
        <v>25</v>
      </c>
      <c r="L39" t="s">
        <v>35</v>
      </c>
      <c r="O39">
        <v>0</v>
      </c>
      <c r="P39">
        <v>1</v>
      </c>
      <c r="Q39">
        <v>1</v>
      </c>
      <c r="R39">
        <v>0</v>
      </c>
      <c r="S39">
        <v>0</v>
      </c>
      <c r="T39">
        <v>0</v>
      </c>
      <c r="U39">
        <v>0</v>
      </c>
      <c r="V39">
        <v>0</v>
      </c>
      <c r="W39" s="8">
        <v>0</v>
      </c>
      <c r="X39">
        <v>0</v>
      </c>
      <c r="Y39">
        <v>0</v>
      </c>
      <c r="Z39" s="8"/>
      <c r="AA39" s="8" t="s">
        <v>73</v>
      </c>
      <c r="AB39" t="s">
        <v>21</v>
      </c>
    </row>
    <row r="40" spans="1:32">
      <c r="A40" s="8">
        <v>1994</v>
      </c>
      <c r="B40" s="8">
        <v>13</v>
      </c>
      <c r="C40" s="8"/>
      <c r="D40" s="8" t="s">
        <v>60</v>
      </c>
      <c r="E40" s="7"/>
      <c r="F40" t="s">
        <v>61</v>
      </c>
      <c r="G40" s="8" t="s">
        <v>22</v>
      </c>
      <c r="H40" t="s">
        <v>24</v>
      </c>
      <c r="I40" s="8" t="s">
        <v>152</v>
      </c>
      <c r="J40" t="s">
        <v>184</v>
      </c>
      <c r="K40" s="8" t="s">
        <v>25</v>
      </c>
      <c r="L40" t="s">
        <v>35</v>
      </c>
      <c r="O40">
        <v>0</v>
      </c>
      <c r="P40">
        <v>1</v>
      </c>
      <c r="Q40">
        <v>0</v>
      </c>
      <c r="R40">
        <v>0</v>
      </c>
      <c r="S40">
        <v>0</v>
      </c>
      <c r="T40">
        <v>0</v>
      </c>
      <c r="U40">
        <v>0</v>
      </c>
      <c r="V40">
        <v>0</v>
      </c>
      <c r="W40" s="8">
        <v>0</v>
      </c>
      <c r="X40">
        <v>0</v>
      </c>
      <c r="Y40">
        <v>0</v>
      </c>
      <c r="Z40" s="8"/>
      <c r="AA40" s="8" t="s">
        <v>73</v>
      </c>
      <c r="AB40" t="s">
        <v>21</v>
      </c>
    </row>
    <row r="41" spans="1:32">
      <c r="A41" s="8">
        <v>1994</v>
      </c>
      <c r="B41" s="8">
        <v>13</v>
      </c>
      <c r="C41" s="8"/>
      <c r="D41" s="8" t="s">
        <v>60</v>
      </c>
      <c r="E41" s="7"/>
      <c r="F41" t="s">
        <v>61</v>
      </c>
      <c r="G41" s="8" t="s">
        <v>191</v>
      </c>
      <c r="H41" t="s">
        <v>194</v>
      </c>
      <c r="I41" s="8" t="s">
        <v>152</v>
      </c>
      <c r="J41" t="s">
        <v>184</v>
      </c>
      <c r="K41" s="8" t="s">
        <v>25</v>
      </c>
      <c r="L41" t="s">
        <v>35</v>
      </c>
      <c r="O41">
        <v>0</v>
      </c>
      <c r="P41">
        <v>1</v>
      </c>
      <c r="Q41">
        <v>0</v>
      </c>
      <c r="R41">
        <v>0</v>
      </c>
      <c r="S41">
        <v>0</v>
      </c>
      <c r="T41">
        <v>0</v>
      </c>
      <c r="U41">
        <v>0</v>
      </c>
      <c r="V41">
        <v>0</v>
      </c>
      <c r="W41" s="8">
        <v>0</v>
      </c>
      <c r="X41">
        <v>0</v>
      </c>
      <c r="Y41">
        <v>0</v>
      </c>
      <c r="Z41" s="8"/>
      <c r="AA41" s="8" t="s">
        <v>73</v>
      </c>
      <c r="AB41" t="s">
        <v>21</v>
      </c>
    </row>
    <row r="42" spans="1:32">
      <c r="A42" s="8">
        <v>1994</v>
      </c>
      <c r="B42" s="8">
        <v>13</v>
      </c>
      <c r="C42" s="8"/>
      <c r="D42" s="8" t="s">
        <v>60</v>
      </c>
      <c r="E42" s="7"/>
      <c r="F42" t="s">
        <v>61</v>
      </c>
      <c r="G42" s="8" t="s">
        <v>192</v>
      </c>
      <c r="H42" t="s">
        <v>195</v>
      </c>
      <c r="I42" s="8" t="s">
        <v>152</v>
      </c>
      <c r="J42" t="s">
        <v>184</v>
      </c>
      <c r="K42" s="8" t="s">
        <v>25</v>
      </c>
      <c r="L42" t="s">
        <v>35</v>
      </c>
      <c r="O42">
        <v>0</v>
      </c>
      <c r="P42">
        <v>1</v>
      </c>
      <c r="Q42">
        <v>0</v>
      </c>
      <c r="R42">
        <v>0</v>
      </c>
      <c r="S42">
        <v>0</v>
      </c>
      <c r="T42">
        <v>0</v>
      </c>
      <c r="U42">
        <v>0</v>
      </c>
      <c r="V42">
        <v>0</v>
      </c>
      <c r="W42" s="8">
        <v>0</v>
      </c>
      <c r="X42">
        <v>0</v>
      </c>
      <c r="Y42">
        <v>0</v>
      </c>
      <c r="Z42" s="8"/>
      <c r="AA42" s="8" t="s">
        <v>73</v>
      </c>
      <c r="AB42" t="s">
        <v>21</v>
      </c>
    </row>
    <row r="43" spans="1:32">
      <c r="A43" s="8">
        <v>1995</v>
      </c>
      <c r="B43" s="8">
        <v>14</v>
      </c>
      <c r="C43" s="8"/>
      <c r="D43" s="8" t="s">
        <v>60</v>
      </c>
      <c r="E43" s="7"/>
      <c r="F43" t="s">
        <v>61</v>
      </c>
      <c r="G43" s="8" t="s">
        <v>158</v>
      </c>
      <c r="H43" s="7"/>
      <c r="I43" s="8" t="s">
        <v>60</v>
      </c>
      <c r="J43" t="s">
        <v>61</v>
      </c>
      <c r="K43" s="8" t="s">
        <v>201</v>
      </c>
      <c r="L43" s="8" t="s">
        <v>158</v>
      </c>
      <c r="M43" s="8"/>
      <c r="N43" s="8"/>
      <c r="O43">
        <v>1</v>
      </c>
      <c r="P43">
        <v>0</v>
      </c>
      <c r="Q43">
        <v>0</v>
      </c>
      <c r="R43">
        <v>0</v>
      </c>
      <c r="S43">
        <v>0</v>
      </c>
      <c r="T43">
        <v>1</v>
      </c>
      <c r="U43">
        <v>0</v>
      </c>
      <c r="V43">
        <v>0</v>
      </c>
      <c r="W43" s="8">
        <v>0</v>
      </c>
      <c r="X43">
        <v>0</v>
      </c>
      <c r="Y43">
        <v>0</v>
      </c>
      <c r="Z43" s="8"/>
      <c r="AA43" s="8" t="s">
        <v>74</v>
      </c>
      <c r="AB43" t="s">
        <v>21</v>
      </c>
    </row>
    <row r="44" spans="1:32">
      <c r="A44" s="8">
        <v>1995</v>
      </c>
      <c r="B44" s="8">
        <v>359</v>
      </c>
      <c r="C44" s="8"/>
      <c r="D44" s="8" t="s">
        <v>60</v>
      </c>
      <c r="E44" s="7"/>
      <c r="F44" t="s">
        <v>61</v>
      </c>
      <c r="G44" s="8" t="s">
        <v>191</v>
      </c>
      <c r="H44" t="s">
        <v>194</v>
      </c>
      <c r="I44" s="8" t="s">
        <v>191</v>
      </c>
      <c r="J44" t="s">
        <v>194</v>
      </c>
      <c r="K44" s="8" t="s">
        <v>65</v>
      </c>
      <c r="L44" s="8" t="s">
        <v>191</v>
      </c>
      <c r="M44" s="8"/>
      <c r="N44" s="8"/>
      <c r="O44">
        <v>0</v>
      </c>
      <c r="P44">
        <v>0</v>
      </c>
      <c r="Q44">
        <v>1</v>
      </c>
      <c r="R44">
        <v>1</v>
      </c>
      <c r="S44">
        <v>0</v>
      </c>
      <c r="T44">
        <v>0</v>
      </c>
      <c r="U44">
        <v>1</v>
      </c>
      <c r="V44">
        <v>1</v>
      </c>
      <c r="W44" s="8">
        <v>1</v>
      </c>
      <c r="X44">
        <v>0</v>
      </c>
      <c r="Y44">
        <v>0</v>
      </c>
      <c r="Z44" s="8" t="s">
        <v>271</v>
      </c>
      <c r="AA44" s="10" t="s">
        <v>272</v>
      </c>
      <c r="AB44" s="10" t="s">
        <v>261</v>
      </c>
    </row>
    <row r="45" spans="1:32">
      <c r="A45" s="8">
        <v>1996</v>
      </c>
      <c r="B45" s="8">
        <v>15</v>
      </c>
      <c r="C45" s="8"/>
      <c r="D45" s="8" t="s">
        <v>60</v>
      </c>
      <c r="E45" s="7"/>
      <c r="F45" t="s">
        <v>61</v>
      </c>
      <c r="G45" s="8" t="s">
        <v>273</v>
      </c>
      <c r="I45" s="8"/>
      <c r="K45" s="8" t="s">
        <v>201</v>
      </c>
      <c r="L45" s="8" t="s">
        <v>37</v>
      </c>
      <c r="M45" s="8"/>
      <c r="N45" s="8"/>
      <c r="O45">
        <v>0</v>
      </c>
      <c r="P45">
        <v>0</v>
      </c>
      <c r="Q45">
        <v>0</v>
      </c>
      <c r="R45">
        <v>1</v>
      </c>
      <c r="S45">
        <v>0</v>
      </c>
      <c r="T45">
        <v>1</v>
      </c>
      <c r="U45">
        <v>1</v>
      </c>
      <c r="V45">
        <v>1</v>
      </c>
      <c r="W45" s="8">
        <v>1</v>
      </c>
      <c r="X45">
        <v>0</v>
      </c>
      <c r="Y45">
        <v>0</v>
      </c>
      <c r="Z45" s="8" t="s">
        <v>282</v>
      </c>
      <c r="AA45" s="10" t="s">
        <v>274</v>
      </c>
      <c r="AB45" s="13" t="s">
        <v>276</v>
      </c>
      <c r="AD45" t="s">
        <v>275</v>
      </c>
      <c r="AF45" t="s">
        <v>277</v>
      </c>
    </row>
    <row r="46" spans="1:32">
      <c r="A46" s="8">
        <v>1996</v>
      </c>
      <c r="B46" s="8">
        <v>15</v>
      </c>
      <c r="C46" s="8"/>
      <c r="D46" s="8" t="s">
        <v>60</v>
      </c>
      <c r="E46" s="7"/>
      <c r="F46" t="s">
        <v>61</v>
      </c>
      <c r="G46" s="8" t="s">
        <v>37</v>
      </c>
      <c r="I46" s="8"/>
      <c r="K46" s="8" t="s">
        <v>201</v>
      </c>
      <c r="L46" s="8" t="s">
        <v>37</v>
      </c>
      <c r="M46" s="8"/>
      <c r="N46" s="8"/>
      <c r="O46">
        <v>0</v>
      </c>
      <c r="P46">
        <v>0</v>
      </c>
      <c r="Q46">
        <v>0</v>
      </c>
      <c r="R46">
        <v>1</v>
      </c>
      <c r="S46">
        <v>0</v>
      </c>
      <c r="T46">
        <v>1</v>
      </c>
      <c r="U46">
        <v>1</v>
      </c>
      <c r="V46">
        <v>1</v>
      </c>
      <c r="W46" s="8">
        <v>1</v>
      </c>
      <c r="X46">
        <v>0</v>
      </c>
      <c r="Y46">
        <v>0</v>
      </c>
      <c r="Z46" s="8" t="s">
        <v>282</v>
      </c>
      <c r="AA46" s="10" t="s">
        <v>278</v>
      </c>
      <c r="AB46" s="16" t="s">
        <v>280</v>
      </c>
      <c r="AD46" t="s">
        <v>279</v>
      </c>
      <c r="AF46" t="s">
        <v>275</v>
      </c>
    </row>
    <row r="47" spans="1:32">
      <c r="A47" s="8">
        <v>1996</v>
      </c>
      <c r="B47" s="8">
        <v>15</v>
      </c>
      <c r="C47" s="8"/>
      <c r="D47" s="8" t="s">
        <v>60</v>
      </c>
      <c r="E47" s="7"/>
      <c r="F47" t="s">
        <v>61</v>
      </c>
      <c r="G47" s="8" t="s">
        <v>281</v>
      </c>
      <c r="I47" s="8"/>
      <c r="K47" s="8" t="s">
        <v>201</v>
      </c>
      <c r="L47" s="8" t="s">
        <v>37</v>
      </c>
      <c r="M47" s="8"/>
      <c r="N47" s="8"/>
      <c r="O47">
        <v>0</v>
      </c>
      <c r="P47">
        <v>0</v>
      </c>
      <c r="Q47">
        <v>0</v>
      </c>
      <c r="R47">
        <v>1</v>
      </c>
      <c r="S47">
        <v>0</v>
      </c>
      <c r="T47">
        <v>1</v>
      </c>
      <c r="U47">
        <v>1</v>
      </c>
      <c r="V47">
        <v>1</v>
      </c>
      <c r="W47" s="8">
        <v>1</v>
      </c>
      <c r="X47">
        <v>0</v>
      </c>
      <c r="Y47">
        <v>0</v>
      </c>
      <c r="Z47" s="8" t="s">
        <v>282</v>
      </c>
      <c r="AA47" s="10" t="s">
        <v>278</v>
      </c>
      <c r="AB47" s="16" t="s">
        <v>280</v>
      </c>
      <c r="AD47" t="s">
        <v>279</v>
      </c>
      <c r="AF47" t="s">
        <v>275</v>
      </c>
    </row>
    <row r="48" spans="1:32">
      <c r="A48" s="8">
        <v>1997</v>
      </c>
      <c r="B48" s="8">
        <v>16</v>
      </c>
      <c r="C48" s="8"/>
      <c r="D48" s="8" t="s">
        <v>60</v>
      </c>
      <c r="F48" t="s">
        <v>61</v>
      </c>
      <c r="G48" s="8" t="s">
        <v>35</v>
      </c>
      <c r="I48" s="8" t="s">
        <v>152</v>
      </c>
      <c r="J48" t="s">
        <v>184</v>
      </c>
      <c r="K48" s="8" t="s">
        <v>25</v>
      </c>
      <c r="L48" t="s">
        <v>196</v>
      </c>
      <c r="M48" s="8" t="s">
        <v>152</v>
      </c>
      <c r="O48">
        <v>0</v>
      </c>
      <c r="P48">
        <v>1</v>
      </c>
      <c r="Q48">
        <v>0</v>
      </c>
      <c r="R48">
        <v>0</v>
      </c>
      <c r="S48">
        <v>0</v>
      </c>
      <c r="T48">
        <v>0</v>
      </c>
      <c r="U48">
        <v>0</v>
      </c>
      <c r="V48">
        <v>0</v>
      </c>
      <c r="W48" s="8">
        <v>0</v>
      </c>
      <c r="X48">
        <v>0</v>
      </c>
      <c r="Y48">
        <v>0</v>
      </c>
      <c r="Z48" s="8"/>
      <c r="AA48" s="8" t="s">
        <v>75</v>
      </c>
      <c r="AB48" t="s">
        <v>21</v>
      </c>
    </row>
    <row r="49" spans="1:28">
      <c r="A49" s="8">
        <v>1997</v>
      </c>
      <c r="B49" s="8">
        <v>16</v>
      </c>
      <c r="C49" s="8"/>
      <c r="D49" s="8" t="s">
        <v>60</v>
      </c>
      <c r="F49" t="s">
        <v>61</v>
      </c>
      <c r="G49" s="8" t="s">
        <v>196</v>
      </c>
      <c r="H49" t="s">
        <v>197</v>
      </c>
      <c r="I49" s="8" t="s">
        <v>152</v>
      </c>
      <c r="J49" t="s">
        <v>184</v>
      </c>
      <c r="K49" s="8" t="s">
        <v>25</v>
      </c>
      <c r="L49" t="s">
        <v>196</v>
      </c>
      <c r="M49" s="8" t="s">
        <v>152</v>
      </c>
      <c r="O49">
        <v>1</v>
      </c>
      <c r="P49">
        <v>1</v>
      </c>
      <c r="Q49">
        <v>0</v>
      </c>
      <c r="R49">
        <v>0</v>
      </c>
      <c r="S49">
        <v>0</v>
      </c>
      <c r="T49">
        <v>0</v>
      </c>
      <c r="U49">
        <v>0</v>
      </c>
      <c r="V49">
        <v>0</v>
      </c>
      <c r="W49" s="8">
        <v>0</v>
      </c>
      <c r="X49">
        <v>0</v>
      </c>
      <c r="Y49">
        <v>0</v>
      </c>
      <c r="Z49" s="8"/>
      <c r="AA49" s="8" t="s">
        <v>75</v>
      </c>
      <c r="AB49" t="s">
        <v>21</v>
      </c>
    </row>
    <row r="50" spans="1:28">
      <c r="A50" s="8">
        <v>1997</v>
      </c>
      <c r="B50" s="8">
        <v>16</v>
      </c>
      <c r="C50" s="8"/>
      <c r="D50" s="8" t="s">
        <v>60</v>
      </c>
      <c r="F50" t="s">
        <v>61</v>
      </c>
      <c r="G50" s="8" t="s">
        <v>152</v>
      </c>
      <c r="H50" t="s">
        <v>184</v>
      </c>
      <c r="I50" s="8" t="s">
        <v>152</v>
      </c>
      <c r="J50" t="s">
        <v>184</v>
      </c>
      <c r="K50" s="8" t="s">
        <v>25</v>
      </c>
      <c r="L50" t="s">
        <v>196</v>
      </c>
      <c r="M50" s="8" t="s">
        <v>152</v>
      </c>
      <c r="O50">
        <v>1</v>
      </c>
      <c r="P50">
        <v>1</v>
      </c>
      <c r="Q50">
        <v>1</v>
      </c>
      <c r="R50">
        <v>0</v>
      </c>
      <c r="S50">
        <v>0</v>
      </c>
      <c r="T50">
        <v>0</v>
      </c>
      <c r="U50">
        <v>0</v>
      </c>
      <c r="V50">
        <v>0</v>
      </c>
      <c r="W50" s="8">
        <v>0</v>
      </c>
      <c r="X50">
        <v>0</v>
      </c>
      <c r="Y50">
        <v>0</v>
      </c>
      <c r="Z50" s="8"/>
      <c r="AA50" s="8" t="s">
        <v>75</v>
      </c>
      <c r="AB50" t="s">
        <v>21</v>
      </c>
    </row>
    <row r="51" spans="1:28">
      <c r="A51" s="8">
        <v>1997</v>
      </c>
      <c r="B51" s="8">
        <v>16</v>
      </c>
      <c r="C51" s="8"/>
      <c r="D51" s="8" t="s">
        <v>60</v>
      </c>
      <c r="F51" t="s">
        <v>61</v>
      </c>
      <c r="G51" s="8" t="s">
        <v>191</v>
      </c>
      <c r="H51" t="s">
        <v>194</v>
      </c>
      <c r="I51" s="8" t="s">
        <v>152</v>
      </c>
      <c r="J51" t="s">
        <v>184</v>
      </c>
      <c r="K51" s="8" t="s">
        <v>25</v>
      </c>
      <c r="L51" t="s">
        <v>196</v>
      </c>
      <c r="M51" s="8" t="s">
        <v>152</v>
      </c>
      <c r="O51">
        <v>0</v>
      </c>
      <c r="P51">
        <v>1</v>
      </c>
      <c r="Q51">
        <v>0</v>
      </c>
      <c r="R51">
        <v>0</v>
      </c>
      <c r="S51">
        <v>0</v>
      </c>
      <c r="T51">
        <v>0</v>
      </c>
      <c r="U51">
        <v>0</v>
      </c>
      <c r="V51">
        <v>0</v>
      </c>
      <c r="W51" s="8">
        <v>0</v>
      </c>
      <c r="X51">
        <v>0</v>
      </c>
      <c r="Y51">
        <v>0</v>
      </c>
      <c r="Z51" s="8"/>
      <c r="AA51" s="8" t="s">
        <v>75</v>
      </c>
      <c r="AB51" t="s">
        <v>21</v>
      </c>
    </row>
    <row r="52" spans="1:28">
      <c r="A52" s="8">
        <v>1997</v>
      </c>
      <c r="B52" s="8">
        <v>16</v>
      </c>
      <c r="C52" s="8"/>
      <c r="D52" s="8" t="s">
        <v>60</v>
      </c>
      <c r="F52" t="s">
        <v>61</v>
      </c>
      <c r="G52" s="8" t="s">
        <v>22</v>
      </c>
      <c r="H52" t="s">
        <v>24</v>
      </c>
      <c r="I52" s="8" t="s">
        <v>152</v>
      </c>
      <c r="J52" t="s">
        <v>184</v>
      </c>
      <c r="K52" s="8" t="s">
        <v>25</v>
      </c>
      <c r="L52" t="s">
        <v>196</v>
      </c>
      <c r="M52" s="8" t="s">
        <v>152</v>
      </c>
      <c r="O52">
        <v>0</v>
      </c>
      <c r="P52">
        <v>1</v>
      </c>
      <c r="Q52">
        <v>0</v>
      </c>
      <c r="R52">
        <v>0</v>
      </c>
      <c r="S52">
        <v>0</v>
      </c>
      <c r="T52">
        <v>0</v>
      </c>
      <c r="U52">
        <v>0</v>
      </c>
      <c r="V52">
        <v>0</v>
      </c>
      <c r="W52" s="8">
        <v>0</v>
      </c>
      <c r="X52">
        <v>0</v>
      </c>
      <c r="Y52">
        <v>0</v>
      </c>
      <c r="Z52" s="8"/>
      <c r="AA52" s="8" t="s">
        <v>75</v>
      </c>
      <c r="AB52" t="s">
        <v>21</v>
      </c>
    </row>
    <row r="53" spans="1:28">
      <c r="A53" s="8">
        <v>1997</v>
      </c>
      <c r="B53" s="8">
        <v>16</v>
      </c>
      <c r="C53" s="8"/>
      <c r="D53" s="8" t="s">
        <v>60</v>
      </c>
      <c r="F53" t="s">
        <v>61</v>
      </c>
      <c r="G53" s="8" t="s">
        <v>192</v>
      </c>
      <c r="H53" t="s">
        <v>195</v>
      </c>
      <c r="I53" s="8" t="s">
        <v>152</v>
      </c>
      <c r="J53" t="s">
        <v>184</v>
      </c>
      <c r="K53" s="8" t="s">
        <v>25</v>
      </c>
      <c r="L53" t="s">
        <v>196</v>
      </c>
      <c r="M53" s="8" t="s">
        <v>152</v>
      </c>
      <c r="O53">
        <v>0</v>
      </c>
      <c r="P53">
        <v>1</v>
      </c>
      <c r="Q53">
        <v>0</v>
      </c>
      <c r="R53">
        <v>0</v>
      </c>
      <c r="S53">
        <v>0</v>
      </c>
      <c r="T53">
        <v>0</v>
      </c>
      <c r="U53">
        <v>0</v>
      </c>
      <c r="V53">
        <v>0</v>
      </c>
      <c r="W53" s="8">
        <v>0</v>
      </c>
      <c r="X53">
        <v>0</v>
      </c>
      <c r="Y53">
        <v>0</v>
      </c>
      <c r="Z53" s="8"/>
      <c r="AA53" s="8" t="s">
        <v>75</v>
      </c>
      <c r="AB53" t="s">
        <v>21</v>
      </c>
    </row>
    <row r="54" spans="1:28">
      <c r="A54" s="8">
        <v>1997</v>
      </c>
      <c r="B54" s="8">
        <v>17</v>
      </c>
      <c r="C54" s="8"/>
      <c r="D54" s="8" t="s">
        <v>60</v>
      </c>
      <c r="F54" t="s">
        <v>61</v>
      </c>
      <c r="G54" s="8" t="s">
        <v>35</v>
      </c>
      <c r="I54" s="8" t="s">
        <v>152</v>
      </c>
      <c r="J54" t="s">
        <v>184</v>
      </c>
      <c r="K54" s="8" t="s">
        <v>25</v>
      </c>
      <c r="L54" t="s">
        <v>152</v>
      </c>
      <c r="O54">
        <v>1</v>
      </c>
      <c r="P54">
        <v>1</v>
      </c>
      <c r="Q54">
        <v>1</v>
      </c>
      <c r="R54">
        <v>0</v>
      </c>
      <c r="S54">
        <v>0</v>
      </c>
      <c r="T54">
        <v>0</v>
      </c>
      <c r="U54">
        <v>0</v>
      </c>
      <c r="V54">
        <v>0</v>
      </c>
      <c r="W54" s="8">
        <v>0</v>
      </c>
      <c r="X54">
        <v>0</v>
      </c>
      <c r="Y54">
        <v>0</v>
      </c>
      <c r="Z54" s="8"/>
      <c r="AA54" s="8" t="s">
        <v>76</v>
      </c>
      <c r="AB54" t="s">
        <v>21</v>
      </c>
    </row>
    <row r="55" spans="1:28">
      <c r="A55" s="8">
        <v>1997</v>
      </c>
      <c r="B55" s="8">
        <v>17</v>
      </c>
      <c r="C55" s="8"/>
      <c r="D55" s="8" t="s">
        <v>60</v>
      </c>
      <c r="F55" t="s">
        <v>61</v>
      </c>
      <c r="G55" s="8" t="s">
        <v>152</v>
      </c>
      <c r="H55" t="s">
        <v>184</v>
      </c>
      <c r="I55" s="8" t="s">
        <v>152</v>
      </c>
      <c r="J55" t="s">
        <v>184</v>
      </c>
      <c r="K55" s="8" t="s">
        <v>25</v>
      </c>
      <c r="L55" t="s">
        <v>152</v>
      </c>
      <c r="O55">
        <v>1</v>
      </c>
      <c r="P55">
        <v>1</v>
      </c>
      <c r="Q55">
        <v>1</v>
      </c>
      <c r="R55">
        <v>0</v>
      </c>
      <c r="S55">
        <v>0</v>
      </c>
      <c r="T55">
        <v>0</v>
      </c>
      <c r="U55">
        <v>0</v>
      </c>
      <c r="V55">
        <v>0</v>
      </c>
      <c r="W55" s="8">
        <v>0</v>
      </c>
      <c r="X55">
        <v>0</v>
      </c>
      <c r="Y55">
        <v>0</v>
      </c>
      <c r="Z55" s="8"/>
      <c r="AA55" s="8" t="s">
        <v>76</v>
      </c>
      <c r="AB55" t="s">
        <v>21</v>
      </c>
    </row>
    <row r="56" spans="1:28">
      <c r="A56" s="8">
        <v>1997</v>
      </c>
      <c r="B56" s="8">
        <v>17</v>
      </c>
      <c r="C56" s="8"/>
      <c r="D56" s="8" t="s">
        <v>60</v>
      </c>
      <c r="F56" t="s">
        <v>61</v>
      </c>
      <c r="G56" s="8" t="s">
        <v>22</v>
      </c>
      <c r="H56" t="s">
        <v>24</v>
      </c>
      <c r="I56" s="8" t="s">
        <v>152</v>
      </c>
      <c r="J56" t="s">
        <v>184</v>
      </c>
      <c r="K56" s="8" t="s">
        <v>25</v>
      </c>
      <c r="L56" t="s">
        <v>152</v>
      </c>
      <c r="O56">
        <v>1</v>
      </c>
      <c r="P56">
        <v>1</v>
      </c>
      <c r="Q56">
        <v>0</v>
      </c>
      <c r="R56">
        <v>0</v>
      </c>
      <c r="S56">
        <v>0</v>
      </c>
      <c r="T56">
        <v>0</v>
      </c>
      <c r="U56">
        <v>0</v>
      </c>
      <c r="V56">
        <v>0</v>
      </c>
      <c r="W56" s="8">
        <v>0</v>
      </c>
      <c r="X56">
        <v>0</v>
      </c>
      <c r="Y56">
        <v>0</v>
      </c>
      <c r="Z56" s="8"/>
      <c r="AA56" s="8" t="s">
        <v>76</v>
      </c>
      <c r="AB56" t="s">
        <v>21</v>
      </c>
    </row>
    <row r="57" spans="1:28">
      <c r="A57" s="8">
        <v>1997</v>
      </c>
      <c r="B57" s="8">
        <v>17</v>
      </c>
      <c r="C57" s="8"/>
      <c r="D57" s="8" t="s">
        <v>60</v>
      </c>
      <c r="F57" t="s">
        <v>61</v>
      </c>
      <c r="G57" s="8" t="s">
        <v>191</v>
      </c>
      <c r="H57" t="s">
        <v>194</v>
      </c>
      <c r="I57" s="8" t="s">
        <v>152</v>
      </c>
      <c r="J57" t="s">
        <v>184</v>
      </c>
      <c r="K57" s="8" t="s">
        <v>25</v>
      </c>
      <c r="L57" t="s">
        <v>152</v>
      </c>
      <c r="O57">
        <v>1</v>
      </c>
      <c r="P57">
        <v>1</v>
      </c>
      <c r="Q57">
        <v>0</v>
      </c>
      <c r="R57">
        <v>0</v>
      </c>
      <c r="S57">
        <v>0</v>
      </c>
      <c r="T57">
        <v>0</v>
      </c>
      <c r="U57">
        <v>0</v>
      </c>
      <c r="V57">
        <v>0</v>
      </c>
      <c r="W57" s="8">
        <v>0</v>
      </c>
      <c r="X57">
        <v>0</v>
      </c>
      <c r="Y57">
        <v>0</v>
      </c>
      <c r="Z57" s="8"/>
      <c r="AA57" s="8" t="s">
        <v>76</v>
      </c>
      <c r="AB57" t="s">
        <v>21</v>
      </c>
    </row>
    <row r="58" spans="1:28">
      <c r="A58" s="8">
        <v>1997</v>
      </c>
      <c r="B58" s="8">
        <v>17</v>
      </c>
      <c r="C58" s="8"/>
      <c r="D58" s="8" t="s">
        <v>60</v>
      </c>
      <c r="F58" t="s">
        <v>61</v>
      </c>
      <c r="G58" s="8" t="s">
        <v>192</v>
      </c>
      <c r="H58" t="s">
        <v>195</v>
      </c>
      <c r="I58" s="8" t="s">
        <v>152</v>
      </c>
      <c r="J58" t="s">
        <v>184</v>
      </c>
      <c r="K58" s="8" t="s">
        <v>25</v>
      </c>
      <c r="L58" t="s">
        <v>152</v>
      </c>
      <c r="O58">
        <v>1</v>
      </c>
      <c r="P58">
        <v>1</v>
      </c>
      <c r="Q58">
        <v>0</v>
      </c>
      <c r="R58">
        <v>0</v>
      </c>
      <c r="S58">
        <v>0</v>
      </c>
      <c r="T58">
        <v>0</v>
      </c>
      <c r="U58">
        <v>0</v>
      </c>
      <c r="V58">
        <v>0</v>
      </c>
      <c r="W58" s="8">
        <v>0</v>
      </c>
      <c r="X58">
        <v>0</v>
      </c>
      <c r="Y58">
        <v>0</v>
      </c>
      <c r="Z58" s="8"/>
      <c r="AA58" s="8" t="s">
        <v>76</v>
      </c>
      <c r="AB58" t="s">
        <v>21</v>
      </c>
    </row>
    <row r="59" spans="1:28">
      <c r="A59" s="8">
        <v>1998</v>
      </c>
      <c r="B59" s="8">
        <v>18</v>
      </c>
      <c r="C59" s="8"/>
      <c r="D59" s="8" t="s">
        <v>60</v>
      </c>
      <c r="F59" t="s">
        <v>61</v>
      </c>
      <c r="G59" s="8" t="s">
        <v>35</v>
      </c>
      <c r="I59" s="8" t="s">
        <v>152</v>
      </c>
      <c r="J59" t="s">
        <v>184</v>
      </c>
      <c r="K59" s="8" t="s">
        <v>25</v>
      </c>
      <c r="L59" t="s">
        <v>35</v>
      </c>
      <c r="O59">
        <v>0</v>
      </c>
      <c r="P59">
        <v>1</v>
      </c>
      <c r="Q59">
        <v>1</v>
      </c>
      <c r="R59">
        <v>0</v>
      </c>
      <c r="S59">
        <v>0</v>
      </c>
      <c r="T59">
        <v>0</v>
      </c>
      <c r="U59">
        <v>0</v>
      </c>
      <c r="V59">
        <v>0</v>
      </c>
      <c r="W59" s="8">
        <v>0</v>
      </c>
      <c r="X59">
        <v>0</v>
      </c>
      <c r="Y59">
        <v>0</v>
      </c>
      <c r="Z59" s="8"/>
      <c r="AA59" s="8" t="s">
        <v>77</v>
      </c>
      <c r="AB59" t="s">
        <v>21</v>
      </c>
    </row>
    <row r="60" spans="1:28">
      <c r="A60" s="8">
        <v>1998</v>
      </c>
      <c r="B60" s="8">
        <v>18</v>
      </c>
      <c r="C60" s="8"/>
      <c r="D60" s="8" t="s">
        <v>60</v>
      </c>
      <c r="F60" t="s">
        <v>61</v>
      </c>
      <c r="G60" s="8" t="s">
        <v>152</v>
      </c>
      <c r="H60" t="s">
        <v>184</v>
      </c>
      <c r="I60" s="8" t="s">
        <v>152</v>
      </c>
      <c r="J60" t="s">
        <v>184</v>
      </c>
      <c r="K60" s="8" t="s">
        <v>25</v>
      </c>
      <c r="L60" t="s">
        <v>35</v>
      </c>
      <c r="O60">
        <v>0</v>
      </c>
      <c r="P60">
        <v>1</v>
      </c>
      <c r="Q60">
        <v>1</v>
      </c>
      <c r="R60">
        <v>0</v>
      </c>
      <c r="S60">
        <v>0</v>
      </c>
      <c r="T60">
        <v>0</v>
      </c>
      <c r="U60">
        <v>0</v>
      </c>
      <c r="V60">
        <v>0</v>
      </c>
      <c r="W60" s="8">
        <v>0</v>
      </c>
      <c r="X60">
        <v>0</v>
      </c>
      <c r="Y60">
        <v>0</v>
      </c>
      <c r="Z60" s="8"/>
      <c r="AA60" s="8" t="s">
        <v>77</v>
      </c>
      <c r="AB60" t="s">
        <v>21</v>
      </c>
    </row>
    <row r="61" spans="1:28">
      <c r="A61" s="8">
        <v>1998</v>
      </c>
      <c r="B61" s="8">
        <v>18</v>
      </c>
      <c r="C61" s="8"/>
      <c r="D61" s="8" t="s">
        <v>60</v>
      </c>
      <c r="F61" t="s">
        <v>61</v>
      </c>
      <c r="G61" s="8" t="s">
        <v>22</v>
      </c>
      <c r="H61" t="s">
        <v>24</v>
      </c>
      <c r="I61" s="8" t="s">
        <v>152</v>
      </c>
      <c r="J61" t="s">
        <v>184</v>
      </c>
      <c r="K61" s="8" t="s">
        <v>25</v>
      </c>
      <c r="L61" t="s">
        <v>35</v>
      </c>
      <c r="O61">
        <v>0</v>
      </c>
      <c r="P61">
        <v>1</v>
      </c>
      <c r="Q61">
        <v>0</v>
      </c>
      <c r="R61">
        <v>0</v>
      </c>
      <c r="S61">
        <v>0</v>
      </c>
      <c r="T61">
        <v>0</v>
      </c>
      <c r="U61">
        <v>0</v>
      </c>
      <c r="V61">
        <v>0</v>
      </c>
      <c r="W61" s="8">
        <v>0</v>
      </c>
      <c r="X61">
        <v>0</v>
      </c>
      <c r="Y61">
        <v>0</v>
      </c>
      <c r="Z61" s="8"/>
      <c r="AA61" s="8" t="s">
        <v>77</v>
      </c>
      <c r="AB61" t="s">
        <v>21</v>
      </c>
    </row>
    <row r="62" spans="1:28">
      <c r="A62" s="8">
        <v>1998</v>
      </c>
      <c r="B62" s="8">
        <v>18</v>
      </c>
      <c r="C62" s="8"/>
      <c r="D62" s="8" t="s">
        <v>60</v>
      </c>
      <c r="F62" t="s">
        <v>61</v>
      </c>
      <c r="G62" s="8" t="s">
        <v>191</v>
      </c>
      <c r="H62" t="s">
        <v>194</v>
      </c>
      <c r="I62" s="8" t="s">
        <v>152</v>
      </c>
      <c r="J62" t="s">
        <v>184</v>
      </c>
      <c r="K62" s="8" t="s">
        <v>25</v>
      </c>
      <c r="L62" t="s">
        <v>35</v>
      </c>
      <c r="O62">
        <v>0</v>
      </c>
      <c r="P62">
        <v>1</v>
      </c>
      <c r="Q62">
        <v>0</v>
      </c>
      <c r="R62">
        <v>0</v>
      </c>
      <c r="S62">
        <v>0</v>
      </c>
      <c r="T62">
        <v>0</v>
      </c>
      <c r="U62">
        <v>0</v>
      </c>
      <c r="V62">
        <v>0</v>
      </c>
      <c r="W62" s="8">
        <v>0</v>
      </c>
      <c r="X62">
        <v>0</v>
      </c>
      <c r="Y62">
        <v>0</v>
      </c>
      <c r="Z62" s="8"/>
      <c r="AA62" s="8" t="s">
        <v>77</v>
      </c>
      <c r="AB62" t="s">
        <v>21</v>
      </c>
    </row>
    <row r="63" spans="1:28">
      <c r="A63" s="8">
        <v>1998</v>
      </c>
      <c r="B63" s="8">
        <v>18</v>
      </c>
      <c r="C63" s="8"/>
      <c r="D63" s="8" t="s">
        <v>60</v>
      </c>
      <c r="F63" t="s">
        <v>61</v>
      </c>
      <c r="G63" s="8" t="s">
        <v>192</v>
      </c>
      <c r="H63" t="s">
        <v>195</v>
      </c>
      <c r="I63" s="8" t="s">
        <v>152</v>
      </c>
      <c r="J63" t="s">
        <v>184</v>
      </c>
      <c r="K63" s="8" t="s">
        <v>25</v>
      </c>
      <c r="L63" t="s">
        <v>35</v>
      </c>
      <c r="O63">
        <v>0</v>
      </c>
      <c r="P63">
        <v>1</v>
      </c>
      <c r="Q63">
        <v>0</v>
      </c>
      <c r="R63">
        <v>0</v>
      </c>
      <c r="S63">
        <v>0</v>
      </c>
      <c r="T63">
        <v>0</v>
      </c>
      <c r="U63">
        <v>0</v>
      </c>
      <c r="V63">
        <v>0</v>
      </c>
      <c r="W63" s="8">
        <v>0</v>
      </c>
      <c r="X63">
        <v>0</v>
      </c>
      <c r="Y63">
        <v>0</v>
      </c>
      <c r="Z63" s="8"/>
      <c r="AA63" s="8" t="s">
        <v>77</v>
      </c>
      <c r="AB63" t="s">
        <v>21</v>
      </c>
    </row>
    <row r="64" spans="1:28">
      <c r="A64" s="8">
        <v>1998</v>
      </c>
      <c r="B64" s="8">
        <v>19</v>
      </c>
      <c r="C64" s="8"/>
      <c r="D64" s="8" t="s">
        <v>60</v>
      </c>
      <c r="F64" t="s">
        <v>61</v>
      </c>
      <c r="G64" s="8" t="s">
        <v>35</v>
      </c>
      <c r="I64" s="8" t="s">
        <v>22</v>
      </c>
      <c r="J64" t="s">
        <v>24</v>
      </c>
      <c r="K64" s="8" t="s">
        <v>25</v>
      </c>
      <c r="L64" t="s">
        <v>35</v>
      </c>
      <c r="O64">
        <v>0</v>
      </c>
      <c r="P64">
        <v>1</v>
      </c>
      <c r="Q64">
        <v>1</v>
      </c>
      <c r="R64">
        <v>0</v>
      </c>
      <c r="S64">
        <v>0</v>
      </c>
      <c r="T64">
        <v>0</v>
      </c>
      <c r="U64">
        <v>0</v>
      </c>
      <c r="V64">
        <v>0</v>
      </c>
      <c r="W64" s="8">
        <v>0</v>
      </c>
      <c r="X64">
        <v>0</v>
      </c>
      <c r="Y64">
        <v>0</v>
      </c>
      <c r="Z64" s="8"/>
      <c r="AA64" s="8" t="s">
        <v>78</v>
      </c>
      <c r="AB64" t="s">
        <v>21</v>
      </c>
    </row>
    <row r="65" spans="1:28">
      <c r="A65" s="8">
        <v>1998</v>
      </c>
      <c r="B65" s="8">
        <v>19</v>
      </c>
      <c r="C65" s="8"/>
      <c r="D65" s="8" t="s">
        <v>60</v>
      </c>
      <c r="F65" t="s">
        <v>61</v>
      </c>
      <c r="G65" s="8" t="s">
        <v>152</v>
      </c>
      <c r="H65" t="s">
        <v>184</v>
      </c>
      <c r="I65" s="8" t="s">
        <v>22</v>
      </c>
      <c r="J65" t="s">
        <v>24</v>
      </c>
      <c r="K65" s="8" t="s">
        <v>25</v>
      </c>
      <c r="L65" t="s">
        <v>35</v>
      </c>
      <c r="O65">
        <v>0</v>
      </c>
      <c r="P65">
        <v>1</v>
      </c>
      <c r="Q65">
        <v>0</v>
      </c>
      <c r="R65">
        <v>0</v>
      </c>
      <c r="S65">
        <v>0</v>
      </c>
      <c r="T65">
        <v>0</v>
      </c>
      <c r="U65">
        <v>0</v>
      </c>
      <c r="V65">
        <v>0</v>
      </c>
      <c r="W65" s="8">
        <v>0</v>
      </c>
      <c r="X65">
        <v>0</v>
      </c>
      <c r="Y65">
        <v>0</v>
      </c>
      <c r="Z65" s="8"/>
      <c r="AA65" s="8" t="s">
        <v>78</v>
      </c>
      <c r="AB65" t="s">
        <v>21</v>
      </c>
    </row>
    <row r="66" spans="1:28">
      <c r="A66" s="8">
        <v>1998</v>
      </c>
      <c r="B66" s="8">
        <v>19</v>
      </c>
      <c r="C66" s="8"/>
      <c r="D66" s="8" t="s">
        <v>60</v>
      </c>
      <c r="F66" t="s">
        <v>61</v>
      </c>
      <c r="G66" s="8" t="s">
        <v>22</v>
      </c>
      <c r="H66" t="s">
        <v>24</v>
      </c>
      <c r="I66" s="8" t="s">
        <v>22</v>
      </c>
      <c r="J66" t="s">
        <v>24</v>
      </c>
      <c r="K66" s="8" t="s">
        <v>25</v>
      </c>
      <c r="L66" t="s">
        <v>35</v>
      </c>
      <c r="O66">
        <v>0</v>
      </c>
      <c r="P66">
        <v>1</v>
      </c>
      <c r="Q66">
        <v>1</v>
      </c>
      <c r="R66">
        <v>0</v>
      </c>
      <c r="S66">
        <v>0</v>
      </c>
      <c r="T66">
        <v>0</v>
      </c>
      <c r="U66">
        <v>0</v>
      </c>
      <c r="V66">
        <v>0</v>
      </c>
      <c r="W66" s="8">
        <v>0</v>
      </c>
      <c r="X66">
        <v>0</v>
      </c>
      <c r="Y66">
        <v>0</v>
      </c>
      <c r="Z66" s="8"/>
      <c r="AA66" s="8" t="s">
        <v>78</v>
      </c>
      <c r="AB66" t="s">
        <v>21</v>
      </c>
    </row>
    <row r="67" spans="1:28">
      <c r="A67" s="8">
        <v>1998</v>
      </c>
      <c r="B67" s="8">
        <v>19</v>
      </c>
      <c r="C67" s="8"/>
      <c r="D67" s="8" t="s">
        <v>60</v>
      </c>
      <c r="F67" t="s">
        <v>61</v>
      </c>
      <c r="G67" s="8" t="s">
        <v>191</v>
      </c>
      <c r="H67" t="s">
        <v>194</v>
      </c>
      <c r="I67" s="8" t="s">
        <v>22</v>
      </c>
      <c r="J67" t="s">
        <v>24</v>
      </c>
      <c r="K67" s="8" t="s">
        <v>25</v>
      </c>
      <c r="L67" t="s">
        <v>35</v>
      </c>
      <c r="O67">
        <v>0</v>
      </c>
      <c r="P67">
        <v>1</v>
      </c>
      <c r="Q67">
        <v>0</v>
      </c>
      <c r="R67">
        <v>0</v>
      </c>
      <c r="S67">
        <v>0</v>
      </c>
      <c r="T67">
        <v>0</v>
      </c>
      <c r="U67">
        <v>0</v>
      </c>
      <c r="V67">
        <v>0</v>
      </c>
      <c r="W67" s="8">
        <v>0</v>
      </c>
      <c r="X67">
        <v>0</v>
      </c>
      <c r="Y67">
        <v>0</v>
      </c>
      <c r="Z67" s="8"/>
      <c r="AA67" s="8" t="s">
        <v>78</v>
      </c>
      <c r="AB67" t="s">
        <v>21</v>
      </c>
    </row>
    <row r="68" spans="1:28">
      <c r="A68" s="8">
        <v>1998</v>
      </c>
      <c r="B68" s="8">
        <v>19</v>
      </c>
      <c r="C68" s="8"/>
      <c r="D68" s="8" t="s">
        <v>60</v>
      </c>
      <c r="F68" t="s">
        <v>61</v>
      </c>
      <c r="G68" s="8" t="s">
        <v>192</v>
      </c>
      <c r="H68" t="s">
        <v>195</v>
      </c>
      <c r="I68" s="8" t="s">
        <v>22</v>
      </c>
      <c r="J68" t="s">
        <v>24</v>
      </c>
      <c r="K68" s="8" t="s">
        <v>25</v>
      </c>
      <c r="L68" t="s">
        <v>35</v>
      </c>
      <c r="O68">
        <v>0</v>
      </c>
      <c r="P68">
        <v>1</v>
      </c>
      <c r="Q68">
        <v>0</v>
      </c>
      <c r="R68">
        <v>0</v>
      </c>
      <c r="S68">
        <v>0</v>
      </c>
      <c r="T68">
        <v>0</v>
      </c>
      <c r="U68">
        <v>0</v>
      </c>
      <c r="V68">
        <v>0</v>
      </c>
      <c r="W68" s="8">
        <v>0</v>
      </c>
      <c r="X68">
        <v>0</v>
      </c>
      <c r="Y68">
        <v>0</v>
      </c>
      <c r="Z68" s="8"/>
      <c r="AA68" s="8" t="s">
        <v>78</v>
      </c>
      <c r="AB68" t="s">
        <v>21</v>
      </c>
    </row>
    <row r="69" spans="1:28">
      <c r="A69" s="8">
        <v>1999</v>
      </c>
      <c r="B69" s="8">
        <v>20</v>
      </c>
      <c r="C69" s="8"/>
      <c r="D69" s="8" t="s">
        <v>60</v>
      </c>
      <c r="F69" t="s">
        <v>61</v>
      </c>
      <c r="G69" s="8" t="s">
        <v>35</v>
      </c>
      <c r="I69" s="8" t="s">
        <v>152</v>
      </c>
      <c r="J69" t="s">
        <v>184</v>
      </c>
      <c r="K69" s="8" t="s">
        <v>25</v>
      </c>
      <c r="L69" t="s">
        <v>152</v>
      </c>
      <c r="O69">
        <v>0</v>
      </c>
      <c r="P69">
        <v>1</v>
      </c>
      <c r="Q69">
        <v>1</v>
      </c>
      <c r="R69">
        <v>0</v>
      </c>
      <c r="S69">
        <v>0</v>
      </c>
      <c r="T69">
        <v>0</v>
      </c>
      <c r="U69">
        <v>0</v>
      </c>
      <c r="V69">
        <v>0</v>
      </c>
      <c r="W69" s="8">
        <v>0</v>
      </c>
      <c r="X69">
        <v>0</v>
      </c>
      <c r="Y69">
        <v>0</v>
      </c>
      <c r="Z69" s="8"/>
      <c r="AA69" s="8" t="s">
        <v>79</v>
      </c>
      <c r="AB69" t="s">
        <v>21</v>
      </c>
    </row>
    <row r="70" spans="1:28">
      <c r="A70" s="8">
        <v>1999</v>
      </c>
      <c r="B70" s="8">
        <v>20</v>
      </c>
      <c r="C70" s="8"/>
      <c r="D70" s="8" t="s">
        <v>60</v>
      </c>
      <c r="F70" t="s">
        <v>61</v>
      </c>
      <c r="G70" s="8" t="s">
        <v>152</v>
      </c>
      <c r="H70" t="s">
        <v>184</v>
      </c>
      <c r="I70" s="8" t="s">
        <v>152</v>
      </c>
      <c r="J70" t="s">
        <v>184</v>
      </c>
      <c r="K70" s="8" t="s">
        <v>25</v>
      </c>
      <c r="L70" t="s">
        <v>152</v>
      </c>
      <c r="O70">
        <v>0</v>
      </c>
      <c r="P70">
        <v>1</v>
      </c>
      <c r="Q70">
        <v>1</v>
      </c>
      <c r="R70">
        <v>0</v>
      </c>
      <c r="S70">
        <v>0</v>
      </c>
      <c r="T70">
        <v>0</v>
      </c>
      <c r="U70">
        <v>0</v>
      </c>
      <c r="V70">
        <v>0</v>
      </c>
      <c r="W70" s="8">
        <v>0</v>
      </c>
      <c r="X70">
        <v>0</v>
      </c>
      <c r="Y70">
        <v>0</v>
      </c>
      <c r="Z70" s="8"/>
      <c r="AA70" s="8" t="s">
        <v>79</v>
      </c>
      <c r="AB70" t="s">
        <v>21</v>
      </c>
    </row>
    <row r="71" spans="1:28">
      <c r="A71" s="8">
        <v>1999</v>
      </c>
      <c r="B71" s="8">
        <v>20</v>
      </c>
      <c r="C71" s="8"/>
      <c r="D71" s="8" t="s">
        <v>60</v>
      </c>
      <c r="F71" t="s">
        <v>61</v>
      </c>
      <c r="G71" s="8" t="s">
        <v>22</v>
      </c>
      <c r="H71" t="s">
        <v>24</v>
      </c>
      <c r="I71" s="8" t="s">
        <v>152</v>
      </c>
      <c r="J71" t="s">
        <v>184</v>
      </c>
      <c r="K71" s="8" t="s">
        <v>25</v>
      </c>
      <c r="L71" t="s">
        <v>152</v>
      </c>
      <c r="O71">
        <v>0</v>
      </c>
      <c r="P71">
        <v>1</v>
      </c>
      <c r="Q71">
        <v>0</v>
      </c>
      <c r="R71">
        <v>0</v>
      </c>
      <c r="S71">
        <v>0</v>
      </c>
      <c r="T71">
        <v>0</v>
      </c>
      <c r="U71">
        <v>0</v>
      </c>
      <c r="V71">
        <v>0</v>
      </c>
      <c r="W71" s="8">
        <v>0</v>
      </c>
      <c r="X71">
        <v>0</v>
      </c>
      <c r="Y71">
        <v>0</v>
      </c>
      <c r="Z71" s="8"/>
      <c r="AA71" s="8" t="s">
        <v>79</v>
      </c>
      <c r="AB71" t="s">
        <v>21</v>
      </c>
    </row>
    <row r="72" spans="1:28">
      <c r="A72" s="8">
        <v>1999</v>
      </c>
      <c r="B72" s="8">
        <v>20</v>
      </c>
      <c r="C72" s="8"/>
      <c r="D72" s="8" t="s">
        <v>60</v>
      </c>
      <c r="F72" t="s">
        <v>61</v>
      </c>
      <c r="G72" s="8" t="s">
        <v>191</v>
      </c>
      <c r="H72" t="s">
        <v>194</v>
      </c>
      <c r="I72" s="8" t="s">
        <v>152</v>
      </c>
      <c r="J72" t="s">
        <v>184</v>
      </c>
      <c r="K72" s="8" t="s">
        <v>25</v>
      </c>
      <c r="L72" t="s">
        <v>152</v>
      </c>
      <c r="O72">
        <v>0</v>
      </c>
      <c r="P72">
        <v>1</v>
      </c>
      <c r="Q72">
        <v>0</v>
      </c>
      <c r="R72">
        <v>0</v>
      </c>
      <c r="S72">
        <v>0</v>
      </c>
      <c r="T72">
        <v>0</v>
      </c>
      <c r="U72">
        <v>0</v>
      </c>
      <c r="V72">
        <v>0</v>
      </c>
      <c r="W72" s="8">
        <v>0</v>
      </c>
      <c r="X72">
        <v>0</v>
      </c>
      <c r="Y72">
        <v>0</v>
      </c>
      <c r="Z72" s="8"/>
      <c r="AA72" s="8" t="s">
        <v>79</v>
      </c>
      <c r="AB72" t="s">
        <v>21</v>
      </c>
    </row>
    <row r="73" spans="1:28">
      <c r="A73" s="8">
        <v>1999</v>
      </c>
      <c r="B73" s="8">
        <v>20</v>
      </c>
      <c r="C73" s="8"/>
      <c r="D73" s="8" t="s">
        <v>60</v>
      </c>
      <c r="F73" t="s">
        <v>61</v>
      </c>
      <c r="G73" s="8" t="s">
        <v>192</v>
      </c>
      <c r="H73" t="s">
        <v>195</v>
      </c>
      <c r="I73" s="8" t="s">
        <v>152</v>
      </c>
      <c r="J73" t="s">
        <v>184</v>
      </c>
      <c r="K73" s="8" t="s">
        <v>25</v>
      </c>
      <c r="L73" t="s">
        <v>152</v>
      </c>
      <c r="O73">
        <v>0</v>
      </c>
      <c r="P73">
        <v>1</v>
      </c>
      <c r="Q73">
        <v>0</v>
      </c>
      <c r="R73">
        <v>0</v>
      </c>
      <c r="S73">
        <v>0</v>
      </c>
      <c r="T73">
        <v>0</v>
      </c>
      <c r="U73">
        <v>0</v>
      </c>
      <c r="V73">
        <v>0</v>
      </c>
      <c r="W73" s="8">
        <v>0</v>
      </c>
      <c r="X73">
        <v>0</v>
      </c>
      <c r="Y73">
        <v>0</v>
      </c>
      <c r="Z73" s="8"/>
      <c r="AA73" s="8" t="s">
        <v>79</v>
      </c>
      <c r="AB73" t="s">
        <v>21</v>
      </c>
    </row>
    <row r="74" spans="1:28">
      <c r="A74" s="8">
        <v>1999</v>
      </c>
      <c r="B74" s="8">
        <v>21</v>
      </c>
      <c r="C74" s="8"/>
      <c r="D74" s="8" t="s">
        <v>60</v>
      </c>
      <c r="F74" t="s">
        <v>61</v>
      </c>
      <c r="G74" s="8" t="s">
        <v>159</v>
      </c>
      <c r="I74" s="8"/>
      <c r="K74" s="8" t="s">
        <v>201</v>
      </c>
      <c r="L74" s="8" t="s">
        <v>159</v>
      </c>
      <c r="M74" s="8"/>
      <c r="N74" s="8"/>
      <c r="O74">
        <v>0</v>
      </c>
      <c r="P74">
        <v>1</v>
      </c>
      <c r="Q74">
        <v>0</v>
      </c>
      <c r="R74">
        <v>1</v>
      </c>
      <c r="S74">
        <v>0</v>
      </c>
      <c r="T74">
        <v>0</v>
      </c>
      <c r="U74">
        <v>0</v>
      </c>
      <c r="V74">
        <v>0</v>
      </c>
      <c r="W74" s="8">
        <v>0</v>
      </c>
      <c r="X74">
        <v>0</v>
      </c>
      <c r="Y74">
        <v>0</v>
      </c>
      <c r="Z74" s="8"/>
      <c r="AA74" s="8" t="s">
        <v>80</v>
      </c>
      <c r="AB74" t="s">
        <v>21</v>
      </c>
    </row>
    <row r="75" spans="1:28">
      <c r="A75" s="8">
        <v>2000</v>
      </c>
      <c r="B75" s="8">
        <v>22</v>
      </c>
      <c r="C75" s="8"/>
      <c r="D75" s="8" t="s">
        <v>60</v>
      </c>
      <c r="F75" t="s">
        <v>61</v>
      </c>
      <c r="G75" s="8" t="s">
        <v>35</v>
      </c>
      <c r="I75" s="8"/>
      <c r="K75" s="8" t="s">
        <v>25</v>
      </c>
      <c r="L75" t="s">
        <v>35</v>
      </c>
      <c r="O75">
        <v>0</v>
      </c>
      <c r="P75">
        <v>1</v>
      </c>
      <c r="Q75">
        <v>0</v>
      </c>
      <c r="R75">
        <v>0</v>
      </c>
      <c r="S75">
        <v>0</v>
      </c>
      <c r="T75">
        <v>0</v>
      </c>
      <c r="U75">
        <v>0</v>
      </c>
      <c r="V75">
        <v>0</v>
      </c>
      <c r="W75" s="8">
        <v>0</v>
      </c>
      <c r="X75">
        <v>0</v>
      </c>
      <c r="Y75">
        <v>0</v>
      </c>
      <c r="Z75" s="8"/>
      <c r="AA75" s="8" t="s">
        <v>81</v>
      </c>
      <c r="AB75" t="s">
        <v>21</v>
      </c>
    </row>
    <row r="76" spans="1:28">
      <c r="A76" s="8">
        <v>2000</v>
      </c>
      <c r="B76" s="8">
        <v>22</v>
      </c>
      <c r="C76" s="8"/>
      <c r="D76" s="8" t="s">
        <v>60</v>
      </c>
      <c r="F76" t="s">
        <v>61</v>
      </c>
      <c r="G76" s="8" t="s">
        <v>152</v>
      </c>
      <c r="H76" s="8" t="s">
        <v>184</v>
      </c>
      <c r="I76" s="8"/>
      <c r="K76" s="8" t="s">
        <v>25</v>
      </c>
      <c r="L76" t="s">
        <v>35</v>
      </c>
      <c r="O76">
        <v>0</v>
      </c>
      <c r="P76">
        <v>1</v>
      </c>
      <c r="Q76">
        <v>0</v>
      </c>
      <c r="R76">
        <v>0</v>
      </c>
      <c r="S76">
        <v>0</v>
      </c>
      <c r="T76">
        <v>0</v>
      </c>
      <c r="U76">
        <v>0</v>
      </c>
      <c r="V76">
        <v>0</v>
      </c>
      <c r="W76" s="8">
        <v>0</v>
      </c>
      <c r="X76">
        <v>0</v>
      </c>
      <c r="Y76">
        <v>0</v>
      </c>
      <c r="Z76" s="8"/>
      <c r="AA76" s="8" t="s">
        <v>81</v>
      </c>
      <c r="AB76" t="s">
        <v>21</v>
      </c>
    </row>
    <row r="77" spans="1:28">
      <c r="A77" s="8">
        <v>2000</v>
      </c>
      <c r="B77" s="8">
        <v>22</v>
      </c>
      <c r="C77" s="8"/>
      <c r="D77" s="8" t="s">
        <v>60</v>
      </c>
      <c r="F77" t="s">
        <v>61</v>
      </c>
      <c r="G77" s="8" t="s">
        <v>22</v>
      </c>
      <c r="H77" s="8" t="s">
        <v>24</v>
      </c>
      <c r="I77" s="8"/>
      <c r="K77" s="8" t="s">
        <v>25</v>
      </c>
      <c r="L77" t="s">
        <v>35</v>
      </c>
      <c r="O77">
        <v>0</v>
      </c>
      <c r="P77">
        <v>1</v>
      </c>
      <c r="Q77">
        <v>0</v>
      </c>
      <c r="R77">
        <v>0</v>
      </c>
      <c r="S77">
        <v>0</v>
      </c>
      <c r="T77">
        <v>0</v>
      </c>
      <c r="U77">
        <v>0</v>
      </c>
      <c r="V77">
        <v>0</v>
      </c>
      <c r="W77" s="8">
        <v>0</v>
      </c>
      <c r="X77">
        <v>0</v>
      </c>
      <c r="Y77">
        <v>0</v>
      </c>
      <c r="Z77" s="8"/>
      <c r="AA77" s="8" t="s">
        <v>81</v>
      </c>
      <c r="AB77" t="s">
        <v>21</v>
      </c>
    </row>
    <row r="78" spans="1:28">
      <c r="A78" s="8">
        <v>2000</v>
      </c>
      <c r="B78" s="8">
        <v>22</v>
      </c>
      <c r="C78" s="8"/>
      <c r="D78" s="8" t="s">
        <v>60</v>
      </c>
      <c r="F78" t="s">
        <v>61</v>
      </c>
      <c r="G78" s="8" t="s">
        <v>191</v>
      </c>
      <c r="H78" s="8" t="s">
        <v>194</v>
      </c>
      <c r="I78" s="8"/>
      <c r="K78" s="8" t="s">
        <v>25</v>
      </c>
      <c r="L78" t="s">
        <v>35</v>
      </c>
      <c r="O78">
        <v>0</v>
      </c>
      <c r="P78">
        <v>1</v>
      </c>
      <c r="Q78">
        <v>0</v>
      </c>
      <c r="R78">
        <v>0</v>
      </c>
      <c r="S78">
        <v>0</v>
      </c>
      <c r="T78">
        <v>0</v>
      </c>
      <c r="U78">
        <v>0</v>
      </c>
      <c r="V78">
        <v>0</v>
      </c>
      <c r="W78" s="8">
        <v>0</v>
      </c>
      <c r="X78">
        <v>0</v>
      </c>
      <c r="Y78">
        <v>0</v>
      </c>
      <c r="Z78" s="8"/>
      <c r="AA78" s="8" t="s">
        <v>81</v>
      </c>
      <c r="AB78" t="s">
        <v>21</v>
      </c>
    </row>
    <row r="79" spans="1:28">
      <c r="A79" s="8">
        <v>2000</v>
      </c>
      <c r="B79" s="8">
        <v>22</v>
      </c>
      <c r="C79" s="8"/>
      <c r="D79" s="8" t="s">
        <v>60</v>
      </c>
      <c r="F79" t="s">
        <v>61</v>
      </c>
      <c r="G79" s="8" t="s">
        <v>192</v>
      </c>
      <c r="H79" s="8" t="s">
        <v>195</v>
      </c>
      <c r="I79" s="8"/>
      <c r="K79" s="8" t="s">
        <v>25</v>
      </c>
      <c r="L79" t="s">
        <v>35</v>
      </c>
      <c r="O79">
        <v>0</v>
      </c>
      <c r="P79">
        <v>1</v>
      </c>
      <c r="Q79">
        <v>0</v>
      </c>
      <c r="R79">
        <v>0</v>
      </c>
      <c r="S79">
        <v>0</v>
      </c>
      <c r="T79">
        <v>0</v>
      </c>
      <c r="U79">
        <v>0</v>
      </c>
      <c r="V79">
        <v>0</v>
      </c>
      <c r="W79" s="8">
        <v>0</v>
      </c>
      <c r="X79">
        <v>0</v>
      </c>
      <c r="Y79">
        <v>0</v>
      </c>
      <c r="Z79" s="8"/>
      <c r="AA79" s="8" t="s">
        <v>81</v>
      </c>
      <c r="AB79" t="s">
        <v>21</v>
      </c>
    </row>
    <row r="80" spans="1:28">
      <c r="A80" s="8">
        <v>2000</v>
      </c>
      <c r="B80" s="8">
        <v>23</v>
      </c>
      <c r="C80" s="8"/>
      <c r="D80" s="8" t="s">
        <v>60</v>
      </c>
      <c r="F80" t="s">
        <v>61</v>
      </c>
      <c r="G80" s="8" t="s">
        <v>37</v>
      </c>
      <c r="I80" s="8"/>
      <c r="K80" s="8" t="s">
        <v>41</v>
      </c>
      <c r="L80" s="8" t="s">
        <v>37</v>
      </c>
      <c r="M80" s="8"/>
      <c r="N80" s="8"/>
      <c r="O80">
        <v>1</v>
      </c>
      <c r="P80">
        <v>0</v>
      </c>
      <c r="Q80">
        <v>0</v>
      </c>
      <c r="R80">
        <v>1</v>
      </c>
      <c r="S80">
        <v>0</v>
      </c>
      <c r="T80">
        <v>1</v>
      </c>
      <c r="U80">
        <v>1</v>
      </c>
      <c r="V80">
        <v>0</v>
      </c>
      <c r="W80" s="8">
        <v>1</v>
      </c>
      <c r="X80">
        <v>0</v>
      </c>
      <c r="Y80">
        <v>1</v>
      </c>
      <c r="Z80" s="8" t="s">
        <v>164</v>
      </c>
      <c r="AA80" s="8" t="s">
        <v>82</v>
      </c>
      <c r="AB80" t="s">
        <v>21</v>
      </c>
    </row>
    <row r="81" spans="1:38">
      <c r="A81" s="8">
        <v>2000</v>
      </c>
      <c r="B81" s="8">
        <v>23</v>
      </c>
      <c r="C81" s="8"/>
      <c r="D81" s="8" t="s">
        <v>60</v>
      </c>
      <c r="F81" t="s">
        <v>61</v>
      </c>
      <c r="G81" s="8" t="s">
        <v>37</v>
      </c>
      <c r="I81" s="8"/>
      <c r="K81" s="8" t="s">
        <v>41</v>
      </c>
      <c r="L81" s="8" t="s">
        <v>37</v>
      </c>
      <c r="M81" s="8"/>
      <c r="N81" s="8"/>
      <c r="O81">
        <v>0</v>
      </c>
      <c r="P81">
        <v>1</v>
      </c>
      <c r="Q81">
        <v>0</v>
      </c>
      <c r="R81">
        <v>1</v>
      </c>
      <c r="S81">
        <v>0</v>
      </c>
      <c r="T81">
        <v>0</v>
      </c>
      <c r="U81">
        <v>1</v>
      </c>
      <c r="V81">
        <v>0</v>
      </c>
      <c r="W81" s="8">
        <v>1</v>
      </c>
      <c r="X81">
        <v>0</v>
      </c>
      <c r="Y81">
        <v>1</v>
      </c>
      <c r="Z81" s="8" t="s">
        <v>164</v>
      </c>
      <c r="AA81" s="8" t="s">
        <v>83</v>
      </c>
      <c r="AB81" t="s">
        <v>21</v>
      </c>
    </row>
    <row r="82" spans="1:38">
      <c r="A82" s="8">
        <v>2000</v>
      </c>
      <c r="B82" s="8">
        <v>24</v>
      </c>
      <c r="C82" s="8"/>
      <c r="D82" s="8" t="s">
        <v>60</v>
      </c>
      <c r="F82" t="s">
        <v>61</v>
      </c>
      <c r="G82" s="8" t="s">
        <v>35</v>
      </c>
      <c r="I82" s="8"/>
      <c r="K82" s="8" t="s">
        <v>25</v>
      </c>
      <c r="L82" t="s">
        <v>35</v>
      </c>
      <c r="O82">
        <v>0</v>
      </c>
      <c r="P82">
        <v>1</v>
      </c>
      <c r="Q82">
        <v>1</v>
      </c>
      <c r="R82">
        <v>1</v>
      </c>
      <c r="S82">
        <v>0</v>
      </c>
      <c r="T82">
        <v>0</v>
      </c>
      <c r="U82">
        <v>0</v>
      </c>
      <c r="V82">
        <v>0</v>
      </c>
      <c r="W82" s="8">
        <v>0</v>
      </c>
      <c r="X82">
        <v>0</v>
      </c>
      <c r="Y82">
        <v>0</v>
      </c>
      <c r="Z82" s="8"/>
      <c r="AA82" s="8" t="s">
        <v>84</v>
      </c>
      <c r="AB82" t="s">
        <v>21</v>
      </c>
    </row>
    <row r="83" spans="1:38">
      <c r="A83" s="8">
        <v>2000</v>
      </c>
      <c r="B83" s="8">
        <v>24</v>
      </c>
      <c r="C83" s="8"/>
      <c r="D83" s="8" t="s">
        <v>60</v>
      </c>
      <c r="F83" t="s">
        <v>61</v>
      </c>
      <c r="G83" s="8" t="s">
        <v>152</v>
      </c>
      <c r="H83" s="8" t="s">
        <v>184</v>
      </c>
      <c r="I83" s="8"/>
      <c r="K83" s="8" t="s">
        <v>25</v>
      </c>
      <c r="L83" s="8" t="s">
        <v>35</v>
      </c>
      <c r="M83" s="8"/>
      <c r="N83" s="8"/>
      <c r="O83">
        <v>0</v>
      </c>
      <c r="P83">
        <v>1</v>
      </c>
      <c r="Q83">
        <v>0</v>
      </c>
      <c r="R83">
        <v>1</v>
      </c>
      <c r="S83">
        <v>0</v>
      </c>
      <c r="T83">
        <v>0</v>
      </c>
      <c r="U83">
        <v>0</v>
      </c>
      <c r="V83">
        <v>0</v>
      </c>
      <c r="W83" s="8">
        <v>0</v>
      </c>
      <c r="X83">
        <v>0</v>
      </c>
      <c r="Y83">
        <v>0</v>
      </c>
      <c r="Z83" s="8"/>
      <c r="AA83" s="8" t="s">
        <v>84</v>
      </c>
      <c r="AB83" t="s">
        <v>21</v>
      </c>
    </row>
    <row r="84" spans="1:38">
      <c r="A84" s="8">
        <v>2000</v>
      </c>
      <c r="B84" s="8">
        <v>24</v>
      </c>
      <c r="C84" s="8"/>
      <c r="D84" s="8" t="s">
        <v>60</v>
      </c>
      <c r="F84" t="s">
        <v>61</v>
      </c>
      <c r="G84" s="8" t="s">
        <v>22</v>
      </c>
      <c r="H84" s="8" t="s">
        <v>24</v>
      </c>
      <c r="I84" s="8"/>
      <c r="K84" s="8" t="s">
        <v>25</v>
      </c>
      <c r="L84" s="8" t="s">
        <v>35</v>
      </c>
      <c r="M84" s="8"/>
      <c r="N84" s="8"/>
      <c r="O84">
        <v>0</v>
      </c>
      <c r="P84">
        <v>1</v>
      </c>
      <c r="Q84">
        <v>0</v>
      </c>
      <c r="R84">
        <v>1</v>
      </c>
      <c r="S84">
        <v>0</v>
      </c>
      <c r="T84">
        <v>0</v>
      </c>
      <c r="U84">
        <v>0</v>
      </c>
      <c r="V84">
        <v>0</v>
      </c>
      <c r="W84" s="8">
        <v>0</v>
      </c>
      <c r="X84">
        <v>0</v>
      </c>
      <c r="Y84">
        <v>0</v>
      </c>
      <c r="Z84" s="8"/>
      <c r="AA84" s="8" t="s">
        <v>84</v>
      </c>
      <c r="AB84" t="s">
        <v>21</v>
      </c>
    </row>
    <row r="85" spans="1:38">
      <c r="A85" s="8">
        <v>2000</v>
      </c>
      <c r="B85" s="8">
        <v>24</v>
      </c>
      <c r="C85" s="8"/>
      <c r="D85" s="8" t="s">
        <v>60</v>
      </c>
      <c r="F85" t="s">
        <v>61</v>
      </c>
      <c r="G85" s="8" t="s">
        <v>191</v>
      </c>
      <c r="H85" s="8" t="s">
        <v>194</v>
      </c>
      <c r="I85" s="8"/>
      <c r="K85" s="8" t="s">
        <v>25</v>
      </c>
      <c r="L85" s="8" t="s">
        <v>35</v>
      </c>
      <c r="M85" s="8"/>
      <c r="N85" s="8"/>
      <c r="O85">
        <v>0</v>
      </c>
      <c r="P85">
        <v>1</v>
      </c>
      <c r="Q85">
        <v>0</v>
      </c>
      <c r="R85">
        <v>1</v>
      </c>
      <c r="S85">
        <v>0</v>
      </c>
      <c r="T85">
        <v>0</v>
      </c>
      <c r="U85">
        <v>0</v>
      </c>
      <c r="V85">
        <v>0</v>
      </c>
      <c r="W85" s="8">
        <v>0</v>
      </c>
      <c r="X85">
        <v>0</v>
      </c>
      <c r="Y85">
        <v>0</v>
      </c>
      <c r="Z85" s="8"/>
      <c r="AA85" s="8" t="s">
        <v>84</v>
      </c>
      <c r="AB85" t="s">
        <v>21</v>
      </c>
    </row>
    <row r="86" spans="1:38">
      <c r="A86" s="8">
        <v>2000</v>
      </c>
      <c r="B86" s="8">
        <v>24</v>
      </c>
      <c r="C86" s="8"/>
      <c r="D86" s="8" t="s">
        <v>60</v>
      </c>
      <c r="F86" t="s">
        <v>61</v>
      </c>
      <c r="G86" s="8" t="s">
        <v>192</v>
      </c>
      <c r="H86" s="8" t="s">
        <v>195</v>
      </c>
      <c r="I86" s="8"/>
      <c r="K86" s="8" t="s">
        <v>25</v>
      </c>
      <c r="L86" s="8" t="s">
        <v>35</v>
      </c>
      <c r="M86" s="8"/>
      <c r="N86" s="8"/>
      <c r="O86">
        <v>0</v>
      </c>
      <c r="P86">
        <v>1</v>
      </c>
      <c r="Q86">
        <v>0</v>
      </c>
      <c r="R86">
        <v>1</v>
      </c>
      <c r="S86">
        <v>0</v>
      </c>
      <c r="T86">
        <v>0</v>
      </c>
      <c r="U86">
        <v>0</v>
      </c>
      <c r="V86">
        <v>0</v>
      </c>
      <c r="W86" s="8">
        <v>0</v>
      </c>
      <c r="X86">
        <v>0</v>
      </c>
      <c r="Y86">
        <v>0</v>
      </c>
      <c r="Z86" s="8"/>
      <c r="AA86" s="8" t="s">
        <v>84</v>
      </c>
      <c r="AB86" t="s">
        <v>21</v>
      </c>
    </row>
    <row r="87" spans="1:38">
      <c r="A87" s="8">
        <v>2000</v>
      </c>
      <c r="B87" s="8">
        <v>25</v>
      </c>
      <c r="C87" s="8"/>
      <c r="D87" s="8" t="s">
        <v>60</v>
      </c>
      <c r="F87" t="s">
        <v>61</v>
      </c>
      <c r="G87" s="8" t="s">
        <v>154</v>
      </c>
      <c r="H87" s="8" t="s">
        <v>187</v>
      </c>
      <c r="I87" s="8" t="s">
        <v>154</v>
      </c>
      <c r="J87" t="s">
        <v>187</v>
      </c>
      <c r="K87" s="8" t="s">
        <v>25</v>
      </c>
      <c r="L87" s="8" t="s">
        <v>154</v>
      </c>
      <c r="M87" s="8" t="s">
        <v>283</v>
      </c>
      <c r="N87" s="8"/>
      <c r="O87">
        <v>1</v>
      </c>
      <c r="P87">
        <v>0</v>
      </c>
      <c r="Q87">
        <v>1</v>
      </c>
      <c r="R87">
        <v>1</v>
      </c>
      <c r="S87">
        <v>0</v>
      </c>
      <c r="T87">
        <v>0</v>
      </c>
      <c r="U87">
        <v>0</v>
      </c>
      <c r="V87">
        <v>0</v>
      </c>
      <c r="W87" s="8">
        <v>0</v>
      </c>
      <c r="X87">
        <v>0</v>
      </c>
      <c r="Y87">
        <v>0</v>
      </c>
      <c r="Z87" s="8"/>
      <c r="AA87" s="8" t="s">
        <v>115</v>
      </c>
      <c r="AB87" t="s">
        <v>21</v>
      </c>
    </row>
    <row r="88" spans="1:38">
      <c r="A88" s="8">
        <v>2000</v>
      </c>
      <c r="B88" s="8">
        <v>25</v>
      </c>
      <c r="C88" s="8"/>
      <c r="D88" s="8" t="s">
        <v>60</v>
      </c>
      <c r="F88" t="s">
        <v>61</v>
      </c>
      <c r="G88" s="8" t="s">
        <v>283</v>
      </c>
      <c r="H88" s="8" t="s">
        <v>284</v>
      </c>
      <c r="I88" s="8" t="s">
        <v>154</v>
      </c>
      <c r="J88" t="s">
        <v>187</v>
      </c>
      <c r="K88" s="8" t="s">
        <v>25</v>
      </c>
      <c r="L88" s="8" t="s">
        <v>154</v>
      </c>
      <c r="M88" s="8" t="s">
        <v>283</v>
      </c>
      <c r="N88" s="8"/>
      <c r="O88">
        <v>0</v>
      </c>
      <c r="P88">
        <v>0</v>
      </c>
      <c r="Q88">
        <v>0</v>
      </c>
      <c r="R88">
        <v>1</v>
      </c>
      <c r="S88">
        <v>0</v>
      </c>
      <c r="T88">
        <v>0</v>
      </c>
      <c r="U88">
        <v>0</v>
      </c>
      <c r="V88">
        <v>0</v>
      </c>
      <c r="W88" s="8">
        <v>0</v>
      </c>
      <c r="X88">
        <v>0</v>
      </c>
      <c r="Y88">
        <v>0</v>
      </c>
      <c r="Z88" s="8"/>
      <c r="AA88" s="8" t="s">
        <v>115</v>
      </c>
      <c r="AB88" t="s">
        <v>21</v>
      </c>
    </row>
    <row r="89" spans="1:38">
      <c r="A89" s="8">
        <v>2000</v>
      </c>
      <c r="B89" s="8">
        <v>26</v>
      </c>
      <c r="C89" s="8"/>
      <c r="D89" s="8" t="s">
        <v>60</v>
      </c>
      <c r="F89" t="s">
        <v>61</v>
      </c>
      <c r="G89" s="8" t="s">
        <v>154</v>
      </c>
      <c r="H89" s="8" t="s">
        <v>187</v>
      </c>
      <c r="I89" s="8" t="s">
        <v>154</v>
      </c>
      <c r="J89" t="s">
        <v>187</v>
      </c>
      <c r="K89" s="8" t="s">
        <v>25</v>
      </c>
      <c r="L89" s="8" t="s">
        <v>154</v>
      </c>
      <c r="M89" s="8" t="s">
        <v>283</v>
      </c>
      <c r="N89" s="8"/>
      <c r="O89">
        <v>1</v>
      </c>
      <c r="P89">
        <v>0</v>
      </c>
      <c r="Q89">
        <v>1</v>
      </c>
      <c r="R89">
        <v>0</v>
      </c>
      <c r="S89">
        <v>0</v>
      </c>
      <c r="T89">
        <v>0</v>
      </c>
      <c r="U89">
        <v>0</v>
      </c>
      <c r="V89">
        <v>0</v>
      </c>
      <c r="W89" s="8">
        <v>0</v>
      </c>
      <c r="X89">
        <v>0</v>
      </c>
      <c r="Y89">
        <v>0</v>
      </c>
      <c r="Z89" s="8"/>
      <c r="AA89" s="8" t="s">
        <v>116</v>
      </c>
      <c r="AB89" t="s">
        <v>21</v>
      </c>
    </row>
    <row r="90" spans="1:38">
      <c r="A90" s="8">
        <v>2000</v>
      </c>
      <c r="B90" s="8">
        <v>26</v>
      </c>
      <c r="C90" s="8"/>
      <c r="D90" s="8" t="s">
        <v>60</v>
      </c>
      <c r="F90" t="s">
        <v>61</v>
      </c>
      <c r="G90" s="8" t="s">
        <v>283</v>
      </c>
      <c r="H90" s="8" t="s">
        <v>284</v>
      </c>
      <c r="I90" s="8" t="s">
        <v>154</v>
      </c>
      <c r="J90" t="s">
        <v>187</v>
      </c>
      <c r="K90" s="8" t="s">
        <v>25</v>
      </c>
      <c r="L90" s="8" t="s">
        <v>154</v>
      </c>
      <c r="M90" s="8" t="s">
        <v>283</v>
      </c>
      <c r="N90" s="8"/>
      <c r="O90">
        <v>0</v>
      </c>
      <c r="P90">
        <v>0</v>
      </c>
      <c r="Q90">
        <v>0</v>
      </c>
      <c r="R90">
        <v>0</v>
      </c>
      <c r="S90">
        <v>0</v>
      </c>
      <c r="T90">
        <v>0</v>
      </c>
      <c r="U90">
        <v>0</v>
      </c>
      <c r="V90">
        <v>0</v>
      </c>
      <c r="W90" s="8">
        <v>0</v>
      </c>
      <c r="X90">
        <v>0</v>
      </c>
      <c r="Y90">
        <v>0</v>
      </c>
      <c r="Z90" s="8"/>
      <c r="AA90" s="8" t="s">
        <v>116</v>
      </c>
      <c r="AB90" t="s">
        <v>21</v>
      </c>
    </row>
    <row r="91" spans="1:38">
      <c r="A91" s="8">
        <v>2001</v>
      </c>
      <c r="B91" s="8">
        <v>27</v>
      </c>
      <c r="C91" s="8"/>
      <c r="D91" s="8" t="s">
        <v>60</v>
      </c>
      <c r="E91" t="s">
        <v>285</v>
      </c>
      <c r="F91" t="s">
        <v>61</v>
      </c>
      <c r="G91" s="8" t="s">
        <v>153</v>
      </c>
      <c r="H91" s="8" t="s">
        <v>186</v>
      </c>
      <c r="I91" s="8" t="s">
        <v>153</v>
      </c>
      <c r="J91" t="s">
        <v>186</v>
      </c>
      <c r="K91" s="8" t="s">
        <v>41</v>
      </c>
      <c r="L91" s="8" t="s">
        <v>153</v>
      </c>
      <c r="M91" s="8" t="s">
        <v>193</v>
      </c>
      <c r="N91" s="8"/>
      <c r="O91">
        <v>1</v>
      </c>
      <c r="P91">
        <v>1</v>
      </c>
      <c r="Q91">
        <v>1</v>
      </c>
      <c r="R91">
        <v>1</v>
      </c>
      <c r="S91">
        <v>0</v>
      </c>
      <c r="T91">
        <v>0</v>
      </c>
      <c r="U91">
        <v>0</v>
      </c>
      <c r="V91">
        <v>0</v>
      </c>
      <c r="W91" s="8">
        <v>0</v>
      </c>
      <c r="X91">
        <v>0</v>
      </c>
      <c r="Y91">
        <v>0</v>
      </c>
      <c r="Z91" s="8"/>
      <c r="AA91" s="8" t="s">
        <v>85</v>
      </c>
      <c r="AB91" t="s">
        <v>21</v>
      </c>
    </row>
    <row r="92" spans="1:38">
      <c r="A92" s="8">
        <v>2001</v>
      </c>
      <c r="B92" s="8">
        <v>27</v>
      </c>
      <c r="C92" s="8"/>
      <c r="D92" s="8" t="s">
        <v>60</v>
      </c>
      <c r="E92" t="s">
        <v>285</v>
      </c>
      <c r="F92" t="s">
        <v>61</v>
      </c>
      <c r="G92" s="8" t="s">
        <v>193</v>
      </c>
      <c r="H92" t="s">
        <v>185</v>
      </c>
      <c r="I92" s="8" t="s">
        <v>153</v>
      </c>
      <c r="J92" t="s">
        <v>186</v>
      </c>
      <c r="K92" s="8" t="s">
        <v>41</v>
      </c>
      <c r="L92" s="8" t="s">
        <v>153</v>
      </c>
      <c r="M92" s="8" t="s">
        <v>193</v>
      </c>
      <c r="N92" s="8"/>
      <c r="O92">
        <v>1</v>
      </c>
      <c r="P92">
        <v>1</v>
      </c>
      <c r="Q92">
        <v>0</v>
      </c>
      <c r="R92">
        <v>1</v>
      </c>
      <c r="S92">
        <v>0</v>
      </c>
      <c r="T92">
        <v>0</v>
      </c>
      <c r="U92">
        <v>0</v>
      </c>
      <c r="V92">
        <v>0</v>
      </c>
      <c r="W92" s="8">
        <v>0</v>
      </c>
      <c r="X92">
        <v>0</v>
      </c>
      <c r="Y92">
        <v>0</v>
      </c>
      <c r="Z92" s="8"/>
      <c r="AA92" s="8" t="s">
        <v>85</v>
      </c>
      <c r="AB92" t="s">
        <v>21</v>
      </c>
    </row>
    <row r="93" spans="1:38">
      <c r="A93" s="8">
        <v>2002</v>
      </c>
      <c r="B93" s="8">
        <v>28</v>
      </c>
      <c r="C93" s="8"/>
      <c r="D93" s="8" t="s">
        <v>60</v>
      </c>
      <c r="E93" t="s">
        <v>285</v>
      </c>
      <c r="F93" t="s">
        <v>61</v>
      </c>
      <c r="G93" s="8" t="s">
        <v>153</v>
      </c>
      <c r="H93" s="8" t="s">
        <v>186</v>
      </c>
      <c r="I93" s="8" t="s">
        <v>153</v>
      </c>
      <c r="J93" t="s">
        <v>186</v>
      </c>
      <c r="K93" s="8" t="s">
        <v>41</v>
      </c>
      <c r="L93" s="8" t="s">
        <v>153</v>
      </c>
      <c r="M93" s="8" t="s">
        <v>193</v>
      </c>
      <c r="N93" s="8"/>
      <c r="O93">
        <v>0</v>
      </c>
      <c r="P93">
        <v>1</v>
      </c>
      <c r="Q93">
        <v>1</v>
      </c>
      <c r="R93">
        <v>1</v>
      </c>
      <c r="S93">
        <v>0</v>
      </c>
      <c r="T93">
        <v>0</v>
      </c>
      <c r="U93">
        <v>1</v>
      </c>
      <c r="V93">
        <v>0</v>
      </c>
      <c r="W93" s="8">
        <v>1</v>
      </c>
      <c r="X93">
        <v>0</v>
      </c>
      <c r="Y93">
        <v>1</v>
      </c>
      <c r="Z93" s="8" t="s">
        <v>164</v>
      </c>
      <c r="AA93" s="8" t="s">
        <v>86</v>
      </c>
      <c r="AB93" t="s">
        <v>21</v>
      </c>
      <c r="AC93" s="10" t="s">
        <v>286</v>
      </c>
      <c r="AD93" s="13" t="s">
        <v>289</v>
      </c>
      <c r="AF93" t="s">
        <v>287</v>
      </c>
      <c r="AH93" t="s">
        <v>288</v>
      </c>
      <c r="AJ93" t="s">
        <v>290</v>
      </c>
    </row>
    <row r="94" spans="1:38">
      <c r="A94" s="8">
        <v>2002</v>
      </c>
      <c r="B94" s="8">
        <v>28</v>
      </c>
      <c r="C94" s="8"/>
      <c r="D94" s="8" t="s">
        <v>60</v>
      </c>
      <c r="E94" t="s">
        <v>285</v>
      </c>
      <c r="F94" t="s">
        <v>61</v>
      </c>
      <c r="G94" s="8" t="s">
        <v>193</v>
      </c>
      <c r="H94" t="s">
        <v>185</v>
      </c>
      <c r="I94" s="8" t="s">
        <v>153</v>
      </c>
      <c r="J94" t="s">
        <v>186</v>
      </c>
      <c r="K94" s="8" t="s">
        <v>41</v>
      </c>
      <c r="L94" s="8" t="s">
        <v>153</v>
      </c>
      <c r="M94" s="8" t="s">
        <v>193</v>
      </c>
      <c r="N94" s="8"/>
      <c r="O94">
        <v>0</v>
      </c>
      <c r="P94">
        <v>1</v>
      </c>
      <c r="Q94">
        <v>0</v>
      </c>
      <c r="R94">
        <v>1</v>
      </c>
      <c r="S94">
        <v>0</v>
      </c>
      <c r="T94">
        <v>0</v>
      </c>
      <c r="U94">
        <v>1</v>
      </c>
      <c r="V94">
        <v>0</v>
      </c>
      <c r="W94" s="8">
        <v>1</v>
      </c>
      <c r="X94">
        <v>0</v>
      </c>
      <c r="Y94">
        <v>1</v>
      </c>
      <c r="Z94" s="8" t="s">
        <v>164</v>
      </c>
      <c r="AA94" s="8" t="s">
        <v>86</v>
      </c>
      <c r="AB94" t="s">
        <v>21</v>
      </c>
      <c r="AC94" s="10" t="s">
        <v>291</v>
      </c>
      <c r="AD94" s="13" t="s">
        <v>292</v>
      </c>
      <c r="AF94" t="s">
        <v>287</v>
      </c>
      <c r="AH94" t="s">
        <v>288</v>
      </c>
      <c r="AJ94" t="s">
        <v>290</v>
      </c>
    </row>
    <row r="95" spans="1:38">
      <c r="A95" s="8">
        <v>2002</v>
      </c>
      <c r="B95" s="8">
        <v>28</v>
      </c>
      <c r="C95" s="8"/>
      <c r="D95" s="8" t="s">
        <v>60</v>
      </c>
      <c r="E95" t="s">
        <v>285</v>
      </c>
      <c r="F95" t="s">
        <v>61</v>
      </c>
      <c r="G95" s="8" t="s">
        <v>35</v>
      </c>
      <c r="I95" s="8" t="s">
        <v>153</v>
      </c>
      <c r="J95" t="s">
        <v>186</v>
      </c>
      <c r="K95" s="8" t="s">
        <v>41</v>
      </c>
      <c r="L95" s="8" t="s">
        <v>153</v>
      </c>
      <c r="M95" s="8" t="s">
        <v>193</v>
      </c>
      <c r="N95" s="8"/>
      <c r="O95">
        <v>0</v>
      </c>
      <c r="P95">
        <v>1</v>
      </c>
      <c r="Q95">
        <v>0</v>
      </c>
      <c r="R95">
        <v>1</v>
      </c>
      <c r="S95">
        <v>0</v>
      </c>
      <c r="T95">
        <v>0</v>
      </c>
      <c r="U95">
        <v>1</v>
      </c>
      <c r="V95">
        <v>0</v>
      </c>
      <c r="W95" s="8">
        <v>1</v>
      </c>
      <c r="X95">
        <v>0</v>
      </c>
      <c r="Y95">
        <v>1</v>
      </c>
      <c r="Z95" s="8" t="s">
        <v>164</v>
      </c>
      <c r="AA95" s="8" t="s">
        <v>86</v>
      </c>
      <c r="AB95" t="s">
        <v>21</v>
      </c>
      <c r="AC95" s="10" t="s">
        <v>293</v>
      </c>
      <c r="AD95" s="13" t="s">
        <v>296</v>
      </c>
      <c r="AF95" t="s">
        <v>261</v>
      </c>
      <c r="AH95" t="s">
        <v>295</v>
      </c>
      <c r="AJ95" t="s">
        <v>294</v>
      </c>
      <c r="AL95" t="s">
        <v>297</v>
      </c>
    </row>
    <row r="96" spans="1:38">
      <c r="A96" s="8">
        <v>2002</v>
      </c>
      <c r="B96" s="8">
        <v>29</v>
      </c>
      <c r="C96" s="8"/>
      <c r="D96" s="8" t="s">
        <v>60</v>
      </c>
      <c r="E96" t="s">
        <v>285</v>
      </c>
      <c r="F96" t="s">
        <v>61</v>
      </c>
      <c r="G96" s="8" t="s">
        <v>35</v>
      </c>
      <c r="I96" s="8" t="s">
        <v>152</v>
      </c>
      <c r="J96" t="s">
        <v>184</v>
      </c>
      <c r="K96" s="8" t="s">
        <v>41</v>
      </c>
      <c r="L96" t="s">
        <v>152</v>
      </c>
      <c r="O96">
        <v>0</v>
      </c>
      <c r="P96">
        <v>1</v>
      </c>
      <c r="Q96">
        <v>0</v>
      </c>
      <c r="R96">
        <v>1</v>
      </c>
      <c r="S96">
        <v>0</v>
      </c>
      <c r="T96">
        <v>0</v>
      </c>
      <c r="U96">
        <v>1</v>
      </c>
      <c r="V96">
        <v>0</v>
      </c>
      <c r="W96" s="8">
        <v>1</v>
      </c>
      <c r="X96">
        <v>0</v>
      </c>
      <c r="Y96">
        <v>1</v>
      </c>
      <c r="Z96" s="8" t="s">
        <v>164</v>
      </c>
      <c r="AA96" s="8" t="s">
        <v>87</v>
      </c>
      <c r="AB96" t="s">
        <v>21</v>
      </c>
      <c r="AC96" s="10" t="s">
        <v>293</v>
      </c>
      <c r="AD96" s="13" t="s">
        <v>296</v>
      </c>
      <c r="AF96" t="s">
        <v>261</v>
      </c>
      <c r="AH96" t="s">
        <v>295</v>
      </c>
      <c r="AJ96" t="s">
        <v>294</v>
      </c>
      <c r="AL96" t="s">
        <v>297</v>
      </c>
    </row>
    <row r="97" spans="1:38">
      <c r="A97" s="8">
        <v>2002</v>
      </c>
      <c r="B97" s="8">
        <v>29</v>
      </c>
      <c r="C97" s="8"/>
      <c r="D97" s="8" t="s">
        <v>60</v>
      </c>
      <c r="E97" t="s">
        <v>285</v>
      </c>
      <c r="F97" t="s">
        <v>61</v>
      </c>
      <c r="G97" s="8" t="s">
        <v>191</v>
      </c>
      <c r="H97" t="s">
        <v>194</v>
      </c>
      <c r="I97" s="8" t="s">
        <v>152</v>
      </c>
      <c r="J97" t="s">
        <v>184</v>
      </c>
      <c r="K97" s="8" t="s">
        <v>41</v>
      </c>
      <c r="L97" t="s">
        <v>152</v>
      </c>
      <c r="O97">
        <v>0</v>
      </c>
      <c r="P97">
        <v>1</v>
      </c>
      <c r="Q97">
        <v>0</v>
      </c>
      <c r="R97">
        <v>1</v>
      </c>
      <c r="S97">
        <v>0</v>
      </c>
      <c r="T97">
        <v>0</v>
      </c>
      <c r="U97">
        <v>1</v>
      </c>
      <c r="V97">
        <v>0</v>
      </c>
      <c r="W97" s="8">
        <v>1</v>
      </c>
      <c r="X97">
        <v>0</v>
      </c>
      <c r="Y97">
        <v>0</v>
      </c>
      <c r="Z97" s="8" t="s">
        <v>164</v>
      </c>
      <c r="AA97" s="8" t="s">
        <v>87</v>
      </c>
      <c r="AB97" t="s">
        <v>21</v>
      </c>
    </row>
    <row r="98" spans="1:38">
      <c r="A98" s="8">
        <v>2002</v>
      </c>
      <c r="B98" s="8">
        <v>29</v>
      </c>
      <c r="C98" s="8"/>
      <c r="D98" s="8" t="s">
        <v>60</v>
      </c>
      <c r="E98" t="s">
        <v>285</v>
      </c>
      <c r="F98" t="s">
        <v>61</v>
      </c>
      <c r="G98" s="8" t="s">
        <v>22</v>
      </c>
      <c r="H98" t="s">
        <v>24</v>
      </c>
      <c r="I98" s="8" t="s">
        <v>152</v>
      </c>
      <c r="J98" t="s">
        <v>184</v>
      </c>
      <c r="K98" s="8" t="s">
        <v>41</v>
      </c>
      <c r="L98" t="s">
        <v>152</v>
      </c>
      <c r="O98">
        <v>0</v>
      </c>
      <c r="P98">
        <v>1</v>
      </c>
      <c r="Q98">
        <v>0</v>
      </c>
      <c r="R98">
        <v>1</v>
      </c>
      <c r="S98">
        <v>0</v>
      </c>
      <c r="T98">
        <v>0</v>
      </c>
      <c r="U98">
        <v>1</v>
      </c>
      <c r="V98">
        <v>0</v>
      </c>
      <c r="W98" s="8">
        <v>1</v>
      </c>
      <c r="X98">
        <v>0</v>
      </c>
      <c r="Y98">
        <v>0</v>
      </c>
      <c r="Z98" s="8" t="s">
        <v>164</v>
      </c>
      <c r="AA98" s="8" t="s">
        <v>87</v>
      </c>
      <c r="AB98" t="s">
        <v>21</v>
      </c>
    </row>
    <row r="99" spans="1:38">
      <c r="A99" s="8">
        <v>2002</v>
      </c>
      <c r="B99" s="8">
        <v>29</v>
      </c>
      <c r="C99" s="8"/>
      <c r="D99" s="8" t="s">
        <v>60</v>
      </c>
      <c r="E99" t="s">
        <v>285</v>
      </c>
      <c r="F99" t="s">
        <v>61</v>
      </c>
      <c r="G99" s="8" t="s">
        <v>192</v>
      </c>
      <c r="H99" t="s">
        <v>195</v>
      </c>
      <c r="I99" s="8" t="s">
        <v>152</v>
      </c>
      <c r="J99" t="s">
        <v>184</v>
      </c>
      <c r="K99" s="8" t="s">
        <v>41</v>
      </c>
      <c r="L99" t="s">
        <v>152</v>
      </c>
      <c r="O99">
        <v>0</v>
      </c>
      <c r="P99">
        <v>1</v>
      </c>
      <c r="Q99">
        <v>0</v>
      </c>
      <c r="R99">
        <v>1</v>
      </c>
      <c r="S99">
        <v>0</v>
      </c>
      <c r="T99">
        <v>0</v>
      </c>
      <c r="U99">
        <v>1</v>
      </c>
      <c r="V99">
        <v>0</v>
      </c>
      <c r="W99" s="8">
        <v>1</v>
      </c>
      <c r="X99">
        <v>0</v>
      </c>
      <c r="Y99">
        <v>0</v>
      </c>
      <c r="Z99" s="8" t="s">
        <v>164</v>
      </c>
      <c r="AA99" s="8" t="s">
        <v>87</v>
      </c>
      <c r="AB99" t="s">
        <v>21</v>
      </c>
    </row>
    <row r="100" spans="1:38">
      <c r="A100" s="8">
        <v>2002</v>
      </c>
      <c r="B100" s="8">
        <v>29</v>
      </c>
      <c r="C100" s="8"/>
      <c r="D100" s="8" t="s">
        <v>60</v>
      </c>
      <c r="E100" t="s">
        <v>285</v>
      </c>
      <c r="F100" t="s">
        <v>61</v>
      </c>
      <c r="G100" s="8" t="s">
        <v>152</v>
      </c>
      <c r="H100" t="s">
        <v>184</v>
      </c>
      <c r="I100" s="8" t="s">
        <v>152</v>
      </c>
      <c r="J100" t="s">
        <v>184</v>
      </c>
      <c r="K100" s="8" t="s">
        <v>41</v>
      </c>
      <c r="L100" t="s">
        <v>152</v>
      </c>
      <c r="O100">
        <v>0</v>
      </c>
      <c r="P100">
        <v>1</v>
      </c>
      <c r="Q100">
        <v>1</v>
      </c>
      <c r="R100">
        <v>1</v>
      </c>
      <c r="S100">
        <v>0</v>
      </c>
      <c r="T100">
        <v>0</v>
      </c>
      <c r="U100">
        <v>1</v>
      </c>
      <c r="V100">
        <v>0</v>
      </c>
      <c r="W100" s="8">
        <v>1</v>
      </c>
      <c r="X100">
        <v>0</v>
      </c>
      <c r="Y100">
        <v>0</v>
      </c>
      <c r="Z100" s="8" t="s">
        <v>164</v>
      </c>
      <c r="AA100" s="8" t="s">
        <v>87</v>
      </c>
      <c r="AB100" t="s">
        <v>21</v>
      </c>
    </row>
    <row r="101" spans="1:38">
      <c r="A101" s="8">
        <v>2002</v>
      </c>
      <c r="B101" s="8">
        <v>29</v>
      </c>
      <c r="C101" s="8"/>
      <c r="D101" s="8" t="s">
        <v>60</v>
      </c>
      <c r="E101" t="s">
        <v>285</v>
      </c>
      <c r="F101" t="s">
        <v>61</v>
      </c>
      <c r="G101" s="8" t="s">
        <v>202</v>
      </c>
      <c r="H101" t="s">
        <v>205</v>
      </c>
      <c r="I101" s="8" t="s">
        <v>152</v>
      </c>
      <c r="J101" t="s">
        <v>184</v>
      </c>
      <c r="K101" s="8" t="s">
        <v>41</v>
      </c>
      <c r="L101" t="s">
        <v>152</v>
      </c>
      <c r="O101">
        <v>0</v>
      </c>
      <c r="P101">
        <v>1</v>
      </c>
      <c r="Q101">
        <v>0</v>
      </c>
      <c r="R101">
        <v>1</v>
      </c>
      <c r="S101">
        <v>0</v>
      </c>
      <c r="T101">
        <v>0</v>
      </c>
      <c r="U101">
        <v>1</v>
      </c>
      <c r="V101">
        <v>0</v>
      </c>
      <c r="W101" s="8">
        <v>1</v>
      </c>
      <c r="X101">
        <v>0</v>
      </c>
      <c r="Y101">
        <v>0</v>
      </c>
      <c r="Z101" s="8" t="s">
        <v>164</v>
      </c>
      <c r="AA101" s="8" t="s">
        <v>87</v>
      </c>
      <c r="AB101" t="s">
        <v>21</v>
      </c>
    </row>
    <row r="102" spans="1:38">
      <c r="A102" s="8">
        <v>2002</v>
      </c>
      <c r="B102" s="8">
        <v>29</v>
      </c>
      <c r="C102" s="8"/>
      <c r="D102" s="8" t="s">
        <v>60</v>
      </c>
      <c r="E102" t="s">
        <v>285</v>
      </c>
      <c r="F102" t="s">
        <v>61</v>
      </c>
      <c r="G102" s="8" t="s">
        <v>193</v>
      </c>
      <c r="H102" t="s">
        <v>185</v>
      </c>
      <c r="I102" s="8" t="s">
        <v>152</v>
      </c>
      <c r="J102" t="s">
        <v>184</v>
      </c>
      <c r="K102" s="8" t="s">
        <v>41</v>
      </c>
      <c r="L102" t="s">
        <v>152</v>
      </c>
      <c r="O102">
        <v>0</v>
      </c>
      <c r="P102">
        <v>1</v>
      </c>
      <c r="Q102">
        <v>0</v>
      </c>
      <c r="R102">
        <v>1</v>
      </c>
      <c r="S102">
        <v>0</v>
      </c>
      <c r="T102">
        <v>0</v>
      </c>
      <c r="U102">
        <v>1</v>
      </c>
      <c r="V102">
        <v>0</v>
      </c>
      <c r="W102" s="8">
        <v>1</v>
      </c>
      <c r="X102">
        <v>0</v>
      </c>
      <c r="Y102">
        <v>0</v>
      </c>
      <c r="Z102" s="8" t="s">
        <v>164</v>
      </c>
      <c r="AA102" s="8" t="s">
        <v>87</v>
      </c>
      <c r="AB102" t="s">
        <v>21</v>
      </c>
    </row>
    <row r="103" spans="1:38">
      <c r="A103" s="8">
        <v>2002</v>
      </c>
      <c r="B103" s="8">
        <v>29</v>
      </c>
      <c r="C103" s="8"/>
      <c r="D103" s="8" t="s">
        <v>60</v>
      </c>
      <c r="E103" t="s">
        <v>285</v>
      </c>
      <c r="F103" t="s">
        <v>61</v>
      </c>
      <c r="G103" s="8" t="s">
        <v>203</v>
      </c>
      <c r="H103" t="s">
        <v>206</v>
      </c>
      <c r="I103" s="8" t="s">
        <v>152</v>
      </c>
      <c r="J103" t="s">
        <v>184</v>
      </c>
      <c r="K103" s="8" t="s">
        <v>41</v>
      </c>
      <c r="L103" t="s">
        <v>152</v>
      </c>
      <c r="O103">
        <v>0</v>
      </c>
      <c r="P103">
        <v>1</v>
      </c>
      <c r="Q103">
        <v>0</v>
      </c>
      <c r="R103">
        <v>1</v>
      </c>
      <c r="S103">
        <v>0</v>
      </c>
      <c r="T103">
        <v>0</v>
      </c>
      <c r="U103">
        <v>1</v>
      </c>
      <c r="V103">
        <v>0</v>
      </c>
      <c r="W103" s="8">
        <v>1</v>
      </c>
      <c r="X103">
        <v>0</v>
      </c>
      <c r="Y103">
        <v>0</v>
      </c>
      <c r="Z103" s="8" t="s">
        <v>164</v>
      </c>
      <c r="AA103" s="8" t="s">
        <v>87</v>
      </c>
      <c r="AB103" t="s">
        <v>21</v>
      </c>
    </row>
    <row r="104" spans="1:38">
      <c r="A104" s="8">
        <v>2002</v>
      </c>
      <c r="B104" s="8">
        <v>29</v>
      </c>
      <c r="C104" s="8"/>
      <c r="D104" s="8" t="s">
        <v>60</v>
      </c>
      <c r="E104" t="s">
        <v>285</v>
      </c>
      <c r="F104" t="s">
        <v>61</v>
      </c>
      <c r="G104" s="8" t="s">
        <v>204</v>
      </c>
      <c r="H104" t="s">
        <v>207</v>
      </c>
      <c r="I104" s="8" t="s">
        <v>152</v>
      </c>
      <c r="J104" t="s">
        <v>184</v>
      </c>
      <c r="K104" s="8" t="s">
        <v>41</v>
      </c>
      <c r="L104" t="s">
        <v>152</v>
      </c>
      <c r="O104">
        <v>0</v>
      </c>
      <c r="P104">
        <v>1</v>
      </c>
      <c r="Q104">
        <v>0</v>
      </c>
      <c r="R104">
        <v>1</v>
      </c>
      <c r="S104">
        <v>0</v>
      </c>
      <c r="T104">
        <v>0</v>
      </c>
      <c r="U104">
        <v>1</v>
      </c>
      <c r="V104">
        <v>0</v>
      </c>
      <c r="W104" s="8">
        <v>1</v>
      </c>
      <c r="X104">
        <v>0</v>
      </c>
      <c r="Y104">
        <v>0</v>
      </c>
      <c r="Z104" s="8" t="s">
        <v>164</v>
      </c>
      <c r="AA104" s="8" t="s">
        <v>87</v>
      </c>
      <c r="AB104" t="s">
        <v>21</v>
      </c>
    </row>
    <row r="105" spans="1:38">
      <c r="A105" s="8">
        <v>2002</v>
      </c>
      <c r="B105" s="8">
        <v>30</v>
      </c>
      <c r="C105" s="8"/>
      <c r="D105" s="8" t="s">
        <v>60</v>
      </c>
      <c r="F105" t="s">
        <v>61</v>
      </c>
      <c r="G105" s="8" t="s">
        <v>35</v>
      </c>
      <c r="I105" s="8" t="s">
        <v>152</v>
      </c>
      <c r="J105" t="s">
        <v>184</v>
      </c>
      <c r="K105" s="8" t="s">
        <v>41</v>
      </c>
      <c r="L105" t="s">
        <v>152</v>
      </c>
      <c r="O105">
        <v>0</v>
      </c>
      <c r="P105">
        <v>1</v>
      </c>
      <c r="Q105">
        <v>0</v>
      </c>
      <c r="R105">
        <v>1</v>
      </c>
      <c r="S105">
        <v>0</v>
      </c>
      <c r="T105">
        <v>0</v>
      </c>
      <c r="U105">
        <v>1</v>
      </c>
      <c r="V105">
        <v>0</v>
      </c>
      <c r="W105" s="8">
        <v>1</v>
      </c>
      <c r="X105">
        <v>1</v>
      </c>
      <c r="Y105">
        <v>0</v>
      </c>
      <c r="Z105" s="8" t="s">
        <v>166</v>
      </c>
      <c r="AA105" s="8" t="s">
        <v>88</v>
      </c>
      <c r="AB105" t="s">
        <v>21</v>
      </c>
      <c r="AC105" s="10" t="s">
        <v>293</v>
      </c>
      <c r="AD105" s="13" t="s">
        <v>296</v>
      </c>
      <c r="AF105" t="s">
        <v>261</v>
      </c>
      <c r="AH105" t="s">
        <v>295</v>
      </c>
      <c r="AJ105" t="s">
        <v>294</v>
      </c>
      <c r="AL105" t="s">
        <v>297</v>
      </c>
    </row>
    <row r="106" spans="1:38">
      <c r="A106" s="8">
        <v>2002</v>
      </c>
      <c r="B106" s="8">
        <v>30</v>
      </c>
      <c r="C106" s="8"/>
      <c r="D106" s="8" t="s">
        <v>60</v>
      </c>
      <c r="F106" t="s">
        <v>61</v>
      </c>
      <c r="G106" s="8" t="s">
        <v>191</v>
      </c>
      <c r="H106" t="s">
        <v>194</v>
      </c>
      <c r="I106" s="8" t="s">
        <v>152</v>
      </c>
      <c r="J106" t="s">
        <v>184</v>
      </c>
      <c r="K106" s="8" t="s">
        <v>41</v>
      </c>
      <c r="L106" t="s">
        <v>152</v>
      </c>
      <c r="O106">
        <v>0</v>
      </c>
      <c r="P106">
        <v>1</v>
      </c>
      <c r="Q106">
        <v>0</v>
      </c>
      <c r="R106">
        <v>1</v>
      </c>
      <c r="S106">
        <v>0</v>
      </c>
      <c r="T106">
        <v>0</v>
      </c>
      <c r="U106">
        <v>1</v>
      </c>
      <c r="V106">
        <v>0</v>
      </c>
      <c r="W106" s="8">
        <v>1</v>
      </c>
      <c r="X106">
        <v>0</v>
      </c>
      <c r="Y106">
        <v>0</v>
      </c>
      <c r="Z106" s="8" t="s">
        <v>166</v>
      </c>
      <c r="AA106" s="8" t="s">
        <v>88</v>
      </c>
      <c r="AB106" t="s">
        <v>21</v>
      </c>
    </row>
    <row r="107" spans="1:38">
      <c r="A107" s="8">
        <v>2002</v>
      </c>
      <c r="B107" s="8">
        <v>30</v>
      </c>
      <c r="C107" s="8"/>
      <c r="D107" s="8" t="s">
        <v>60</v>
      </c>
      <c r="F107" t="s">
        <v>61</v>
      </c>
      <c r="G107" s="8" t="s">
        <v>22</v>
      </c>
      <c r="H107" t="s">
        <v>24</v>
      </c>
      <c r="I107" s="8" t="s">
        <v>152</v>
      </c>
      <c r="J107" t="s">
        <v>184</v>
      </c>
      <c r="K107" s="8" t="s">
        <v>41</v>
      </c>
      <c r="L107" t="s">
        <v>152</v>
      </c>
      <c r="O107">
        <v>0</v>
      </c>
      <c r="P107">
        <v>1</v>
      </c>
      <c r="Q107">
        <v>0</v>
      </c>
      <c r="R107">
        <v>1</v>
      </c>
      <c r="S107">
        <v>0</v>
      </c>
      <c r="T107">
        <v>0</v>
      </c>
      <c r="U107">
        <v>1</v>
      </c>
      <c r="V107">
        <v>0</v>
      </c>
      <c r="W107" s="8">
        <v>1</v>
      </c>
      <c r="X107">
        <v>0</v>
      </c>
      <c r="Y107">
        <v>0</v>
      </c>
      <c r="Z107" s="8" t="s">
        <v>166</v>
      </c>
      <c r="AA107" s="8" t="s">
        <v>88</v>
      </c>
      <c r="AB107" t="s">
        <v>21</v>
      </c>
    </row>
    <row r="108" spans="1:38">
      <c r="A108" s="8">
        <v>2002</v>
      </c>
      <c r="B108" s="8">
        <v>30</v>
      </c>
      <c r="C108" s="8"/>
      <c r="D108" s="8" t="s">
        <v>60</v>
      </c>
      <c r="F108" t="s">
        <v>61</v>
      </c>
      <c r="G108" s="8" t="s">
        <v>192</v>
      </c>
      <c r="H108" t="s">
        <v>195</v>
      </c>
      <c r="I108" s="8" t="s">
        <v>152</v>
      </c>
      <c r="J108" t="s">
        <v>184</v>
      </c>
      <c r="K108" s="8" t="s">
        <v>41</v>
      </c>
      <c r="L108" t="s">
        <v>152</v>
      </c>
      <c r="O108">
        <v>0</v>
      </c>
      <c r="P108">
        <v>1</v>
      </c>
      <c r="Q108">
        <v>0</v>
      </c>
      <c r="R108">
        <v>1</v>
      </c>
      <c r="S108">
        <v>0</v>
      </c>
      <c r="T108">
        <v>0</v>
      </c>
      <c r="U108">
        <v>1</v>
      </c>
      <c r="V108">
        <v>0</v>
      </c>
      <c r="W108" s="8">
        <v>1</v>
      </c>
      <c r="X108">
        <v>0</v>
      </c>
      <c r="Y108">
        <v>0</v>
      </c>
      <c r="Z108" s="8" t="s">
        <v>166</v>
      </c>
      <c r="AA108" s="8" t="s">
        <v>88</v>
      </c>
      <c r="AB108" t="s">
        <v>21</v>
      </c>
    </row>
    <row r="109" spans="1:38">
      <c r="A109" s="8">
        <v>2002</v>
      </c>
      <c r="B109" s="8">
        <v>30</v>
      </c>
      <c r="C109" s="8"/>
      <c r="D109" s="8" t="s">
        <v>60</v>
      </c>
      <c r="F109" t="s">
        <v>61</v>
      </c>
      <c r="G109" s="8" t="s">
        <v>152</v>
      </c>
      <c r="H109" t="s">
        <v>184</v>
      </c>
      <c r="I109" s="8" t="s">
        <v>152</v>
      </c>
      <c r="J109" t="s">
        <v>184</v>
      </c>
      <c r="K109" s="8" t="s">
        <v>41</v>
      </c>
      <c r="L109" t="s">
        <v>152</v>
      </c>
      <c r="O109">
        <v>0</v>
      </c>
      <c r="P109">
        <v>1</v>
      </c>
      <c r="Q109">
        <v>1</v>
      </c>
      <c r="R109">
        <v>1</v>
      </c>
      <c r="S109">
        <v>0</v>
      </c>
      <c r="T109">
        <v>0</v>
      </c>
      <c r="U109">
        <v>1</v>
      </c>
      <c r="V109">
        <v>0</v>
      </c>
      <c r="W109" s="8">
        <v>1</v>
      </c>
      <c r="X109">
        <v>0</v>
      </c>
      <c r="Y109">
        <v>0</v>
      </c>
      <c r="Z109" s="8" t="s">
        <v>166</v>
      </c>
      <c r="AA109" s="8" t="s">
        <v>88</v>
      </c>
      <c r="AB109" t="s">
        <v>21</v>
      </c>
    </row>
    <row r="110" spans="1:38">
      <c r="A110" s="8">
        <v>2002</v>
      </c>
      <c r="B110" s="8">
        <v>30</v>
      </c>
      <c r="C110" s="8"/>
      <c r="D110" s="8" t="s">
        <v>60</v>
      </c>
      <c r="F110" t="s">
        <v>61</v>
      </c>
      <c r="G110" s="8" t="s">
        <v>202</v>
      </c>
      <c r="H110" t="s">
        <v>205</v>
      </c>
      <c r="I110" s="8" t="s">
        <v>152</v>
      </c>
      <c r="J110" t="s">
        <v>184</v>
      </c>
      <c r="K110" s="8" t="s">
        <v>41</v>
      </c>
      <c r="L110" t="s">
        <v>152</v>
      </c>
      <c r="O110">
        <v>0</v>
      </c>
      <c r="P110">
        <v>1</v>
      </c>
      <c r="Q110">
        <v>0</v>
      </c>
      <c r="R110">
        <v>1</v>
      </c>
      <c r="S110">
        <v>0</v>
      </c>
      <c r="T110">
        <v>0</v>
      </c>
      <c r="U110">
        <v>1</v>
      </c>
      <c r="V110">
        <v>0</v>
      </c>
      <c r="W110" s="8">
        <v>1</v>
      </c>
      <c r="X110">
        <v>0</v>
      </c>
      <c r="Y110">
        <v>0</v>
      </c>
      <c r="Z110" s="8" t="s">
        <v>166</v>
      </c>
      <c r="AA110" s="8" t="s">
        <v>88</v>
      </c>
      <c r="AB110" t="s">
        <v>21</v>
      </c>
    </row>
    <row r="111" spans="1:38">
      <c r="A111" s="8">
        <v>2002</v>
      </c>
      <c r="B111" s="8">
        <v>30</v>
      </c>
      <c r="C111" s="8"/>
      <c r="D111" s="8" t="s">
        <v>60</v>
      </c>
      <c r="F111" t="s">
        <v>61</v>
      </c>
      <c r="G111" s="8" t="s">
        <v>193</v>
      </c>
      <c r="H111" t="s">
        <v>185</v>
      </c>
      <c r="I111" s="8" t="s">
        <v>152</v>
      </c>
      <c r="J111" t="s">
        <v>184</v>
      </c>
      <c r="K111" s="8" t="s">
        <v>41</v>
      </c>
      <c r="L111" t="s">
        <v>152</v>
      </c>
      <c r="O111">
        <v>0</v>
      </c>
      <c r="P111">
        <v>1</v>
      </c>
      <c r="Q111">
        <v>0</v>
      </c>
      <c r="R111">
        <v>1</v>
      </c>
      <c r="S111">
        <v>0</v>
      </c>
      <c r="T111">
        <v>0</v>
      </c>
      <c r="U111">
        <v>1</v>
      </c>
      <c r="V111">
        <v>0</v>
      </c>
      <c r="W111" s="8">
        <v>1</v>
      </c>
      <c r="X111">
        <v>0</v>
      </c>
      <c r="Y111">
        <v>0</v>
      </c>
      <c r="Z111" s="8" t="s">
        <v>166</v>
      </c>
      <c r="AA111" s="8" t="s">
        <v>88</v>
      </c>
      <c r="AB111" t="s">
        <v>21</v>
      </c>
    </row>
    <row r="112" spans="1:38">
      <c r="A112" s="8">
        <v>2002</v>
      </c>
      <c r="B112" s="8">
        <v>30</v>
      </c>
      <c r="C112" s="8"/>
      <c r="D112" s="8" t="s">
        <v>60</v>
      </c>
      <c r="F112" t="s">
        <v>61</v>
      </c>
      <c r="G112" s="8" t="s">
        <v>203</v>
      </c>
      <c r="H112" t="s">
        <v>206</v>
      </c>
      <c r="I112" s="8" t="s">
        <v>152</v>
      </c>
      <c r="J112" t="s">
        <v>184</v>
      </c>
      <c r="K112" s="8" t="s">
        <v>41</v>
      </c>
      <c r="L112" t="s">
        <v>152</v>
      </c>
      <c r="O112">
        <v>0</v>
      </c>
      <c r="P112">
        <v>1</v>
      </c>
      <c r="Q112">
        <v>0</v>
      </c>
      <c r="R112">
        <v>1</v>
      </c>
      <c r="S112">
        <v>0</v>
      </c>
      <c r="T112">
        <v>0</v>
      </c>
      <c r="U112">
        <v>1</v>
      </c>
      <c r="V112">
        <v>0</v>
      </c>
      <c r="W112" s="8">
        <v>1</v>
      </c>
      <c r="X112">
        <v>0</v>
      </c>
      <c r="Y112">
        <v>0</v>
      </c>
      <c r="Z112" s="8" t="s">
        <v>166</v>
      </c>
      <c r="AA112" s="8" t="s">
        <v>88</v>
      </c>
      <c r="AB112" t="s">
        <v>21</v>
      </c>
    </row>
    <row r="113" spans="1:38">
      <c r="A113" s="8">
        <v>2002</v>
      </c>
      <c r="B113" s="8">
        <v>30</v>
      </c>
      <c r="C113" s="8"/>
      <c r="D113" s="8" t="s">
        <v>60</v>
      </c>
      <c r="F113" t="s">
        <v>61</v>
      </c>
      <c r="G113" s="8" t="s">
        <v>204</v>
      </c>
      <c r="H113" t="s">
        <v>207</v>
      </c>
      <c r="I113" s="8" t="s">
        <v>152</v>
      </c>
      <c r="J113" t="s">
        <v>184</v>
      </c>
      <c r="K113" s="8" t="s">
        <v>41</v>
      </c>
      <c r="L113" t="s">
        <v>152</v>
      </c>
      <c r="O113">
        <v>0</v>
      </c>
      <c r="P113">
        <v>1</v>
      </c>
      <c r="Q113">
        <v>0</v>
      </c>
      <c r="R113">
        <v>1</v>
      </c>
      <c r="S113">
        <v>0</v>
      </c>
      <c r="T113">
        <v>0</v>
      </c>
      <c r="U113">
        <v>1</v>
      </c>
      <c r="V113">
        <v>0</v>
      </c>
      <c r="W113" s="8">
        <v>1</v>
      </c>
      <c r="X113">
        <v>0</v>
      </c>
      <c r="Y113">
        <v>0</v>
      </c>
      <c r="Z113" s="8" t="s">
        <v>166</v>
      </c>
      <c r="AA113" s="8" t="s">
        <v>88</v>
      </c>
      <c r="AB113" t="s">
        <v>21</v>
      </c>
    </row>
    <row r="114" spans="1:38">
      <c r="A114" s="8">
        <v>2002</v>
      </c>
      <c r="B114" s="8">
        <v>31</v>
      </c>
      <c r="C114" s="8"/>
      <c r="D114" s="8" t="s">
        <v>60</v>
      </c>
      <c r="F114" t="s">
        <v>61</v>
      </c>
      <c r="G114" s="8" t="s">
        <v>35</v>
      </c>
      <c r="I114" s="8" t="s">
        <v>152</v>
      </c>
      <c r="J114" t="s">
        <v>184</v>
      </c>
      <c r="K114" s="8" t="s">
        <v>41</v>
      </c>
      <c r="L114" t="s">
        <v>152</v>
      </c>
      <c r="O114">
        <v>0</v>
      </c>
      <c r="P114">
        <v>1</v>
      </c>
      <c r="Q114">
        <v>0</v>
      </c>
      <c r="R114">
        <v>1</v>
      </c>
      <c r="S114">
        <v>0</v>
      </c>
      <c r="T114">
        <v>0</v>
      </c>
      <c r="U114">
        <v>0</v>
      </c>
      <c r="V114">
        <v>0</v>
      </c>
      <c r="W114" s="8">
        <v>0</v>
      </c>
      <c r="X114">
        <v>0</v>
      </c>
      <c r="Y114">
        <v>0</v>
      </c>
      <c r="Z114" s="8"/>
      <c r="AA114" s="8" t="s">
        <v>89</v>
      </c>
      <c r="AB114" t="s">
        <v>21</v>
      </c>
    </row>
    <row r="115" spans="1:38">
      <c r="A115" s="8">
        <v>2002</v>
      </c>
      <c r="B115" s="8">
        <v>31</v>
      </c>
      <c r="C115" s="8"/>
      <c r="D115" s="8" t="s">
        <v>60</v>
      </c>
      <c r="F115" t="s">
        <v>61</v>
      </c>
      <c r="G115" s="8" t="s">
        <v>191</v>
      </c>
      <c r="H115" t="s">
        <v>194</v>
      </c>
      <c r="I115" s="8" t="s">
        <v>152</v>
      </c>
      <c r="J115" t="s">
        <v>184</v>
      </c>
      <c r="K115" s="8" t="s">
        <v>41</v>
      </c>
      <c r="L115" t="s">
        <v>152</v>
      </c>
      <c r="O115">
        <v>0</v>
      </c>
      <c r="P115">
        <v>1</v>
      </c>
      <c r="Q115">
        <v>0</v>
      </c>
      <c r="R115">
        <v>1</v>
      </c>
      <c r="S115">
        <v>0</v>
      </c>
      <c r="T115">
        <v>0</v>
      </c>
      <c r="U115">
        <v>0</v>
      </c>
      <c r="V115">
        <v>0</v>
      </c>
      <c r="W115" s="8">
        <v>0</v>
      </c>
      <c r="X115">
        <v>0</v>
      </c>
      <c r="Y115">
        <v>0</v>
      </c>
      <c r="Z115" s="8"/>
      <c r="AA115" s="8" t="s">
        <v>89</v>
      </c>
      <c r="AB115" t="s">
        <v>21</v>
      </c>
    </row>
    <row r="116" spans="1:38">
      <c r="A116" s="8">
        <v>2002</v>
      </c>
      <c r="B116" s="8">
        <v>31</v>
      </c>
      <c r="C116" s="8"/>
      <c r="D116" s="8" t="s">
        <v>60</v>
      </c>
      <c r="F116" t="s">
        <v>61</v>
      </c>
      <c r="G116" s="8" t="s">
        <v>22</v>
      </c>
      <c r="H116" t="s">
        <v>24</v>
      </c>
      <c r="I116" s="8" t="s">
        <v>152</v>
      </c>
      <c r="J116" t="s">
        <v>184</v>
      </c>
      <c r="K116" s="8" t="s">
        <v>41</v>
      </c>
      <c r="L116" t="s">
        <v>152</v>
      </c>
      <c r="O116">
        <v>0</v>
      </c>
      <c r="P116">
        <v>1</v>
      </c>
      <c r="Q116">
        <v>0</v>
      </c>
      <c r="R116">
        <v>1</v>
      </c>
      <c r="S116">
        <v>0</v>
      </c>
      <c r="T116">
        <v>0</v>
      </c>
      <c r="U116">
        <v>0</v>
      </c>
      <c r="V116">
        <v>0</v>
      </c>
      <c r="W116" s="8">
        <v>0</v>
      </c>
      <c r="X116">
        <v>0</v>
      </c>
      <c r="Y116">
        <v>0</v>
      </c>
      <c r="Z116" s="8"/>
      <c r="AA116" s="8" t="s">
        <v>89</v>
      </c>
      <c r="AB116" t="s">
        <v>21</v>
      </c>
    </row>
    <row r="117" spans="1:38">
      <c r="A117" s="8">
        <v>2002</v>
      </c>
      <c r="B117" s="8">
        <v>31</v>
      </c>
      <c r="C117" s="8"/>
      <c r="D117" s="8" t="s">
        <v>60</v>
      </c>
      <c r="F117" t="s">
        <v>61</v>
      </c>
      <c r="G117" s="8" t="s">
        <v>192</v>
      </c>
      <c r="H117" t="s">
        <v>195</v>
      </c>
      <c r="I117" s="8" t="s">
        <v>152</v>
      </c>
      <c r="J117" t="s">
        <v>184</v>
      </c>
      <c r="K117" s="8" t="s">
        <v>41</v>
      </c>
      <c r="L117" t="s">
        <v>152</v>
      </c>
      <c r="O117">
        <v>0</v>
      </c>
      <c r="P117">
        <v>1</v>
      </c>
      <c r="Q117">
        <v>0</v>
      </c>
      <c r="R117">
        <v>1</v>
      </c>
      <c r="S117">
        <v>0</v>
      </c>
      <c r="T117">
        <v>0</v>
      </c>
      <c r="U117">
        <v>0</v>
      </c>
      <c r="V117">
        <v>0</v>
      </c>
      <c r="W117" s="8">
        <v>0</v>
      </c>
      <c r="X117">
        <v>0</v>
      </c>
      <c r="Y117">
        <v>0</v>
      </c>
      <c r="Z117" s="8"/>
      <c r="AA117" s="8" t="s">
        <v>89</v>
      </c>
      <c r="AB117" t="s">
        <v>21</v>
      </c>
    </row>
    <row r="118" spans="1:38">
      <c r="A118" s="8">
        <v>2002</v>
      </c>
      <c r="B118" s="8">
        <v>31</v>
      </c>
      <c r="C118" s="8"/>
      <c r="D118" s="8" t="s">
        <v>60</v>
      </c>
      <c r="F118" t="s">
        <v>61</v>
      </c>
      <c r="G118" s="8" t="s">
        <v>152</v>
      </c>
      <c r="H118" t="s">
        <v>184</v>
      </c>
      <c r="I118" s="8" t="s">
        <v>152</v>
      </c>
      <c r="J118" t="s">
        <v>184</v>
      </c>
      <c r="K118" s="8" t="s">
        <v>41</v>
      </c>
      <c r="L118" t="s">
        <v>152</v>
      </c>
      <c r="O118">
        <v>0</v>
      </c>
      <c r="P118">
        <v>1</v>
      </c>
      <c r="Q118">
        <v>1</v>
      </c>
      <c r="R118">
        <v>1</v>
      </c>
      <c r="S118">
        <v>0</v>
      </c>
      <c r="T118">
        <v>0</v>
      </c>
      <c r="U118">
        <v>0</v>
      </c>
      <c r="V118">
        <v>0</v>
      </c>
      <c r="W118" s="8">
        <v>0</v>
      </c>
      <c r="X118">
        <v>0</v>
      </c>
      <c r="Y118">
        <v>0</v>
      </c>
      <c r="Z118" s="8"/>
      <c r="AA118" s="8" t="s">
        <v>89</v>
      </c>
      <c r="AB118" t="s">
        <v>21</v>
      </c>
    </row>
    <row r="119" spans="1:38">
      <c r="A119" s="8">
        <v>2002</v>
      </c>
      <c r="B119" s="8">
        <v>31</v>
      </c>
      <c r="C119" s="8"/>
      <c r="D119" s="8" t="s">
        <v>60</v>
      </c>
      <c r="F119" t="s">
        <v>61</v>
      </c>
      <c r="G119" s="8" t="s">
        <v>202</v>
      </c>
      <c r="H119" t="s">
        <v>205</v>
      </c>
      <c r="I119" s="8" t="s">
        <v>152</v>
      </c>
      <c r="J119" t="s">
        <v>184</v>
      </c>
      <c r="K119" s="8" t="s">
        <v>41</v>
      </c>
      <c r="L119" t="s">
        <v>152</v>
      </c>
      <c r="O119">
        <v>0</v>
      </c>
      <c r="P119">
        <v>1</v>
      </c>
      <c r="Q119">
        <v>0</v>
      </c>
      <c r="R119">
        <v>1</v>
      </c>
      <c r="S119">
        <v>0</v>
      </c>
      <c r="T119">
        <v>0</v>
      </c>
      <c r="U119">
        <v>0</v>
      </c>
      <c r="V119">
        <v>0</v>
      </c>
      <c r="W119" s="8">
        <v>0</v>
      </c>
      <c r="X119">
        <v>0</v>
      </c>
      <c r="Y119">
        <v>0</v>
      </c>
      <c r="Z119" s="8"/>
      <c r="AA119" s="8" t="s">
        <v>89</v>
      </c>
      <c r="AB119" t="s">
        <v>21</v>
      </c>
    </row>
    <row r="120" spans="1:38">
      <c r="A120" s="8">
        <v>2002</v>
      </c>
      <c r="B120" s="8">
        <v>31</v>
      </c>
      <c r="C120" s="8"/>
      <c r="D120" s="8" t="s">
        <v>60</v>
      </c>
      <c r="F120" t="s">
        <v>61</v>
      </c>
      <c r="G120" s="8" t="s">
        <v>203</v>
      </c>
      <c r="H120" t="s">
        <v>206</v>
      </c>
      <c r="I120" s="8" t="s">
        <v>152</v>
      </c>
      <c r="J120" t="s">
        <v>184</v>
      </c>
      <c r="K120" s="8" t="s">
        <v>41</v>
      </c>
      <c r="L120" t="s">
        <v>152</v>
      </c>
      <c r="O120">
        <v>0</v>
      </c>
      <c r="P120">
        <v>1</v>
      </c>
      <c r="Q120">
        <v>0</v>
      </c>
      <c r="R120">
        <v>1</v>
      </c>
      <c r="S120">
        <v>0</v>
      </c>
      <c r="T120">
        <v>0</v>
      </c>
      <c r="U120">
        <v>0</v>
      </c>
      <c r="V120">
        <v>0</v>
      </c>
      <c r="W120" s="8">
        <v>0</v>
      </c>
      <c r="X120">
        <v>0</v>
      </c>
      <c r="Y120">
        <v>0</v>
      </c>
      <c r="Z120" s="8"/>
      <c r="AA120" s="8" t="s">
        <v>89</v>
      </c>
      <c r="AB120" t="s">
        <v>21</v>
      </c>
    </row>
    <row r="121" spans="1:38">
      <c r="A121" s="8">
        <v>2002</v>
      </c>
      <c r="B121" s="8">
        <v>31</v>
      </c>
      <c r="C121" s="8"/>
      <c r="D121" s="8" t="s">
        <v>60</v>
      </c>
      <c r="F121" t="s">
        <v>61</v>
      </c>
      <c r="G121" s="8" t="s">
        <v>204</v>
      </c>
      <c r="H121" t="s">
        <v>207</v>
      </c>
      <c r="I121" s="8" t="s">
        <v>152</v>
      </c>
      <c r="J121" t="s">
        <v>184</v>
      </c>
      <c r="K121" s="8" t="s">
        <v>41</v>
      </c>
      <c r="L121" t="s">
        <v>152</v>
      </c>
      <c r="O121">
        <v>0</v>
      </c>
      <c r="P121">
        <v>1</v>
      </c>
      <c r="Q121">
        <v>0</v>
      </c>
      <c r="R121">
        <v>1</v>
      </c>
      <c r="S121">
        <v>0</v>
      </c>
      <c r="T121">
        <v>0</v>
      </c>
      <c r="U121">
        <v>0</v>
      </c>
      <c r="V121">
        <v>0</v>
      </c>
      <c r="W121" s="8">
        <v>0</v>
      </c>
      <c r="X121">
        <v>0</v>
      </c>
      <c r="Y121">
        <v>0</v>
      </c>
      <c r="Z121" s="8"/>
      <c r="AA121" s="8" t="s">
        <v>89</v>
      </c>
      <c r="AB121" t="s">
        <v>21</v>
      </c>
    </row>
    <row r="122" spans="1:38">
      <c r="A122" s="8">
        <v>2002</v>
      </c>
      <c r="B122" s="8">
        <v>32</v>
      </c>
      <c r="C122" s="8"/>
      <c r="D122" s="8" t="s">
        <v>60</v>
      </c>
      <c r="F122" t="s">
        <v>61</v>
      </c>
      <c r="G122" s="8" t="s">
        <v>35</v>
      </c>
      <c r="I122" s="8" t="s">
        <v>152</v>
      </c>
      <c r="J122" t="s">
        <v>184</v>
      </c>
      <c r="K122" s="8" t="s">
        <v>41</v>
      </c>
      <c r="L122" t="s">
        <v>35</v>
      </c>
      <c r="O122">
        <v>0</v>
      </c>
      <c r="P122">
        <v>1</v>
      </c>
      <c r="Q122">
        <v>1</v>
      </c>
      <c r="R122">
        <v>1</v>
      </c>
      <c r="S122">
        <v>0</v>
      </c>
      <c r="T122">
        <v>0</v>
      </c>
      <c r="U122">
        <v>1</v>
      </c>
      <c r="V122">
        <v>0</v>
      </c>
      <c r="W122" s="8">
        <v>1</v>
      </c>
      <c r="X122">
        <v>0</v>
      </c>
      <c r="Y122">
        <v>1</v>
      </c>
      <c r="Z122" s="8" t="s">
        <v>164</v>
      </c>
      <c r="AA122" s="8" t="s">
        <v>90</v>
      </c>
      <c r="AB122" t="s">
        <v>21</v>
      </c>
      <c r="AC122" s="10" t="s">
        <v>293</v>
      </c>
      <c r="AD122" s="13" t="s">
        <v>296</v>
      </c>
      <c r="AF122" t="s">
        <v>261</v>
      </c>
      <c r="AH122" t="s">
        <v>295</v>
      </c>
      <c r="AJ122" t="s">
        <v>294</v>
      </c>
      <c r="AL122" t="s">
        <v>297</v>
      </c>
    </row>
    <row r="123" spans="1:38">
      <c r="A123" s="8">
        <v>2002</v>
      </c>
      <c r="B123" s="8">
        <v>32</v>
      </c>
      <c r="C123" s="8"/>
      <c r="D123" s="8" t="s">
        <v>60</v>
      </c>
      <c r="F123" t="s">
        <v>61</v>
      </c>
      <c r="G123" s="8" t="s">
        <v>191</v>
      </c>
      <c r="H123" t="s">
        <v>194</v>
      </c>
      <c r="I123" s="8" t="s">
        <v>152</v>
      </c>
      <c r="J123" t="s">
        <v>184</v>
      </c>
      <c r="K123" s="8" t="s">
        <v>41</v>
      </c>
      <c r="L123" t="s">
        <v>35</v>
      </c>
      <c r="O123">
        <v>0</v>
      </c>
      <c r="P123">
        <v>1</v>
      </c>
      <c r="Q123">
        <v>0</v>
      </c>
      <c r="R123">
        <v>1</v>
      </c>
      <c r="S123">
        <v>0</v>
      </c>
      <c r="T123">
        <v>0</v>
      </c>
      <c r="U123">
        <v>0</v>
      </c>
      <c r="V123">
        <v>0</v>
      </c>
      <c r="W123" s="8">
        <v>1</v>
      </c>
      <c r="X123">
        <v>0</v>
      </c>
      <c r="Y123">
        <v>1</v>
      </c>
      <c r="Z123" s="8" t="s">
        <v>164</v>
      </c>
      <c r="AA123" s="8" t="s">
        <v>90</v>
      </c>
      <c r="AB123" t="s">
        <v>21</v>
      </c>
    </row>
    <row r="124" spans="1:38">
      <c r="A124" s="8">
        <v>2002</v>
      </c>
      <c r="B124" s="8">
        <v>32</v>
      </c>
      <c r="C124" s="8"/>
      <c r="D124" s="8" t="s">
        <v>60</v>
      </c>
      <c r="F124" t="s">
        <v>61</v>
      </c>
      <c r="G124" s="8" t="s">
        <v>22</v>
      </c>
      <c r="H124" t="s">
        <v>24</v>
      </c>
      <c r="I124" s="8" t="s">
        <v>152</v>
      </c>
      <c r="J124" t="s">
        <v>184</v>
      </c>
      <c r="K124" s="8" t="s">
        <v>41</v>
      </c>
      <c r="L124" t="s">
        <v>35</v>
      </c>
      <c r="O124">
        <v>0</v>
      </c>
      <c r="P124">
        <v>1</v>
      </c>
      <c r="Q124">
        <v>0</v>
      </c>
      <c r="R124">
        <v>1</v>
      </c>
      <c r="S124">
        <v>0</v>
      </c>
      <c r="T124">
        <v>0</v>
      </c>
      <c r="U124">
        <v>0</v>
      </c>
      <c r="V124">
        <v>0</v>
      </c>
      <c r="W124" s="8">
        <v>1</v>
      </c>
      <c r="X124">
        <v>0</v>
      </c>
      <c r="Y124">
        <v>1</v>
      </c>
      <c r="Z124" s="8" t="s">
        <v>164</v>
      </c>
      <c r="AA124" s="8" t="s">
        <v>90</v>
      </c>
      <c r="AB124" t="s">
        <v>21</v>
      </c>
    </row>
    <row r="125" spans="1:38">
      <c r="A125" s="8">
        <v>2002</v>
      </c>
      <c r="B125" s="8">
        <v>32</v>
      </c>
      <c r="C125" s="8"/>
      <c r="D125" s="8" t="s">
        <v>60</v>
      </c>
      <c r="F125" t="s">
        <v>61</v>
      </c>
      <c r="G125" s="8" t="s">
        <v>192</v>
      </c>
      <c r="H125" t="s">
        <v>195</v>
      </c>
      <c r="I125" s="8" t="s">
        <v>152</v>
      </c>
      <c r="J125" t="s">
        <v>184</v>
      </c>
      <c r="K125" s="8" t="s">
        <v>41</v>
      </c>
      <c r="L125" t="s">
        <v>35</v>
      </c>
      <c r="O125">
        <v>0</v>
      </c>
      <c r="P125">
        <v>1</v>
      </c>
      <c r="Q125">
        <v>0</v>
      </c>
      <c r="R125">
        <v>1</v>
      </c>
      <c r="S125">
        <v>0</v>
      </c>
      <c r="T125">
        <v>0</v>
      </c>
      <c r="U125">
        <v>0</v>
      </c>
      <c r="V125">
        <v>0</v>
      </c>
      <c r="W125" s="8">
        <v>1</v>
      </c>
      <c r="X125">
        <v>0</v>
      </c>
      <c r="Y125">
        <v>1</v>
      </c>
      <c r="Z125" s="8" t="s">
        <v>164</v>
      </c>
      <c r="AA125" s="8" t="s">
        <v>90</v>
      </c>
      <c r="AB125" t="s">
        <v>21</v>
      </c>
    </row>
    <row r="126" spans="1:38">
      <c r="A126" s="8">
        <v>2002</v>
      </c>
      <c r="B126" s="8">
        <v>32</v>
      </c>
      <c r="C126" s="8"/>
      <c r="D126" s="8" t="s">
        <v>60</v>
      </c>
      <c r="F126" t="s">
        <v>61</v>
      </c>
      <c r="G126" s="8" t="s">
        <v>152</v>
      </c>
      <c r="H126" t="s">
        <v>184</v>
      </c>
      <c r="I126" s="8" t="s">
        <v>152</v>
      </c>
      <c r="J126" t="s">
        <v>184</v>
      </c>
      <c r="K126" s="8" t="s">
        <v>41</v>
      </c>
      <c r="L126" t="s">
        <v>35</v>
      </c>
      <c r="O126">
        <v>0</v>
      </c>
      <c r="P126">
        <v>1</v>
      </c>
      <c r="Q126">
        <v>1</v>
      </c>
      <c r="R126">
        <v>1</v>
      </c>
      <c r="S126">
        <v>0</v>
      </c>
      <c r="T126">
        <v>0</v>
      </c>
      <c r="U126">
        <v>0</v>
      </c>
      <c r="V126">
        <v>0</v>
      </c>
      <c r="W126" s="8">
        <v>1</v>
      </c>
      <c r="X126">
        <v>0</v>
      </c>
      <c r="Y126">
        <v>1</v>
      </c>
      <c r="Z126" s="8" t="s">
        <v>164</v>
      </c>
      <c r="AA126" s="8" t="s">
        <v>90</v>
      </c>
      <c r="AB126" t="s">
        <v>21</v>
      </c>
    </row>
    <row r="127" spans="1:38">
      <c r="A127" s="8">
        <v>2002</v>
      </c>
      <c r="B127" s="8">
        <v>32</v>
      </c>
      <c r="C127" s="8"/>
      <c r="D127" s="8" t="s">
        <v>60</v>
      </c>
      <c r="F127" t="s">
        <v>61</v>
      </c>
      <c r="G127" s="8" t="s">
        <v>202</v>
      </c>
      <c r="H127" t="s">
        <v>205</v>
      </c>
      <c r="I127" s="8" t="s">
        <v>152</v>
      </c>
      <c r="J127" t="s">
        <v>184</v>
      </c>
      <c r="K127" s="8" t="s">
        <v>41</v>
      </c>
      <c r="L127" t="s">
        <v>35</v>
      </c>
      <c r="O127">
        <v>0</v>
      </c>
      <c r="P127">
        <v>1</v>
      </c>
      <c r="Q127">
        <v>0</v>
      </c>
      <c r="R127">
        <v>1</v>
      </c>
      <c r="S127">
        <v>0</v>
      </c>
      <c r="T127">
        <v>0</v>
      </c>
      <c r="U127">
        <v>0</v>
      </c>
      <c r="V127">
        <v>0</v>
      </c>
      <c r="W127" s="8">
        <v>1</v>
      </c>
      <c r="X127">
        <v>0</v>
      </c>
      <c r="Y127">
        <v>1</v>
      </c>
      <c r="Z127" s="8" t="s">
        <v>164</v>
      </c>
      <c r="AA127" s="8" t="s">
        <v>90</v>
      </c>
      <c r="AB127" t="s">
        <v>21</v>
      </c>
    </row>
    <row r="128" spans="1:38">
      <c r="A128" s="8">
        <v>2002</v>
      </c>
      <c r="B128" s="8">
        <v>32</v>
      </c>
      <c r="C128" s="8"/>
      <c r="D128" s="8" t="s">
        <v>60</v>
      </c>
      <c r="F128" t="s">
        <v>61</v>
      </c>
      <c r="G128" s="8" t="s">
        <v>193</v>
      </c>
      <c r="H128" t="s">
        <v>185</v>
      </c>
      <c r="I128" s="8" t="s">
        <v>152</v>
      </c>
      <c r="J128" t="s">
        <v>184</v>
      </c>
      <c r="K128" s="8" t="s">
        <v>41</v>
      </c>
      <c r="L128" t="s">
        <v>35</v>
      </c>
      <c r="O128">
        <v>0</v>
      </c>
      <c r="P128">
        <v>1</v>
      </c>
      <c r="Q128">
        <v>0</v>
      </c>
      <c r="R128">
        <v>1</v>
      </c>
      <c r="S128">
        <v>0</v>
      </c>
      <c r="T128">
        <v>0</v>
      </c>
      <c r="U128">
        <v>0</v>
      </c>
      <c r="V128">
        <v>0</v>
      </c>
      <c r="W128" s="8">
        <v>1</v>
      </c>
      <c r="X128">
        <v>0</v>
      </c>
      <c r="Y128">
        <v>1</v>
      </c>
      <c r="Z128" s="8" t="s">
        <v>164</v>
      </c>
      <c r="AA128" s="8" t="s">
        <v>90</v>
      </c>
      <c r="AB128" t="s">
        <v>21</v>
      </c>
    </row>
    <row r="129" spans="1:38">
      <c r="A129" s="8">
        <v>2002</v>
      </c>
      <c r="B129" s="8">
        <v>32</v>
      </c>
      <c r="C129" s="8"/>
      <c r="D129" s="8" t="s">
        <v>60</v>
      </c>
      <c r="F129" t="s">
        <v>61</v>
      </c>
      <c r="G129" s="8" t="s">
        <v>203</v>
      </c>
      <c r="I129" s="8" t="s">
        <v>152</v>
      </c>
      <c r="J129" t="s">
        <v>184</v>
      </c>
      <c r="K129" s="8" t="s">
        <v>41</v>
      </c>
      <c r="L129" t="s">
        <v>35</v>
      </c>
      <c r="O129">
        <v>0</v>
      </c>
      <c r="P129">
        <v>1</v>
      </c>
      <c r="Q129">
        <v>0</v>
      </c>
      <c r="R129">
        <v>1</v>
      </c>
      <c r="S129">
        <v>0</v>
      </c>
      <c r="T129">
        <v>0</v>
      </c>
      <c r="U129">
        <v>0</v>
      </c>
      <c r="V129">
        <v>0</v>
      </c>
      <c r="W129" s="8">
        <v>1</v>
      </c>
      <c r="X129">
        <v>0</v>
      </c>
      <c r="Y129">
        <v>1</v>
      </c>
      <c r="Z129" s="8" t="s">
        <v>164</v>
      </c>
      <c r="AA129" s="8" t="s">
        <v>90</v>
      </c>
      <c r="AB129" t="s">
        <v>21</v>
      </c>
    </row>
    <row r="130" spans="1:38">
      <c r="A130" s="8">
        <v>2002</v>
      </c>
      <c r="B130" s="8">
        <v>32</v>
      </c>
      <c r="C130" s="8"/>
      <c r="D130" s="8" t="s">
        <v>60</v>
      </c>
      <c r="F130" t="s">
        <v>61</v>
      </c>
      <c r="G130" s="8" t="s">
        <v>204</v>
      </c>
      <c r="I130" s="8" t="s">
        <v>152</v>
      </c>
      <c r="J130" t="s">
        <v>184</v>
      </c>
      <c r="K130" s="8" t="s">
        <v>41</v>
      </c>
      <c r="L130" t="s">
        <v>35</v>
      </c>
      <c r="O130">
        <v>0</v>
      </c>
      <c r="P130">
        <v>1</v>
      </c>
      <c r="Q130">
        <v>0</v>
      </c>
      <c r="R130">
        <v>1</v>
      </c>
      <c r="S130">
        <v>0</v>
      </c>
      <c r="T130">
        <v>0</v>
      </c>
      <c r="U130">
        <v>0</v>
      </c>
      <c r="V130">
        <v>0</v>
      </c>
      <c r="W130" s="8">
        <v>1</v>
      </c>
      <c r="X130">
        <v>0</v>
      </c>
      <c r="Y130">
        <v>1</v>
      </c>
      <c r="Z130" s="8" t="s">
        <v>164</v>
      </c>
      <c r="AA130" s="8" t="s">
        <v>90</v>
      </c>
      <c r="AB130" t="s">
        <v>21</v>
      </c>
    </row>
    <row r="131" spans="1:38">
      <c r="A131" s="8">
        <v>2002</v>
      </c>
      <c r="B131" s="8">
        <v>33</v>
      </c>
      <c r="C131" s="8"/>
      <c r="D131" s="8" t="s">
        <v>60</v>
      </c>
      <c r="F131" t="s">
        <v>61</v>
      </c>
      <c r="G131" s="8" t="s">
        <v>35</v>
      </c>
      <c r="I131" s="8" t="s">
        <v>152</v>
      </c>
      <c r="J131" t="s">
        <v>184</v>
      </c>
      <c r="K131" s="8" t="s">
        <v>41</v>
      </c>
      <c r="L131" t="s">
        <v>35</v>
      </c>
      <c r="O131">
        <v>0</v>
      </c>
      <c r="P131">
        <v>1</v>
      </c>
      <c r="Q131">
        <v>1</v>
      </c>
      <c r="R131">
        <v>1</v>
      </c>
      <c r="S131">
        <v>0</v>
      </c>
      <c r="T131">
        <v>0</v>
      </c>
      <c r="U131">
        <v>1</v>
      </c>
      <c r="V131">
        <v>0</v>
      </c>
      <c r="W131" s="8">
        <v>1</v>
      </c>
      <c r="X131">
        <v>1</v>
      </c>
      <c r="Y131">
        <v>0</v>
      </c>
      <c r="Z131" s="8" t="s">
        <v>167</v>
      </c>
      <c r="AA131" s="8" t="s">
        <v>91</v>
      </c>
      <c r="AB131" t="s">
        <v>21</v>
      </c>
      <c r="AC131" s="10" t="s">
        <v>293</v>
      </c>
      <c r="AD131" s="13" t="s">
        <v>296</v>
      </c>
      <c r="AF131" t="s">
        <v>261</v>
      </c>
      <c r="AH131" t="s">
        <v>295</v>
      </c>
      <c r="AJ131" t="s">
        <v>294</v>
      </c>
      <c r="AL131" t="s">
        <v>297</v>
      </c>
    </row>
    <row r="132" spans="1:38">
      <c r="A132" s="8">
        <v>2002</v>
      </c>
      <c r="B132" s="8">
        <v>33</v>
      </c>
      <c r="C132" s="8"/>
      <c r="D132" s="8" t="s">
        <v>60</v>
      </c>
      <c r="F132" t="s">
        <v>61</v>
      </c>
      <c r="G132" s="8" t="s">
        <v>191</v>
      </c>
      <c r="H132" t="s">
        <v>194</v>
      </c>
      <c r="I132" s="8" t="s">
        <v>152</v>
      </c>
      <c r="J132" t="s">
        <v>184</v>
      </c>
      <c r="K132" s="8" t="s">
        <v>41</v>
      </c>
      <c r="L132" t="s">
        <v>35</v>
      </c>
      <c r="O132">
        <v>0</v>
      </c>
      <c r="P132">
        <v>1</v>
      </c>
      <c r="Q132">
        <v>0</v>
      </c>
      <c r="R132">
        <v>1</v>
      </c>
      <c r="S132">
        <v>0</v>
      </c>
      <c r="T132">
        <v>0</v>
      </c>
      <c r="U132">
        <v>0</v>
      </c>
      <c r="V132">
        <v>0</v>
      </c>
      <c r="W132" s="8">
        <v>1</v>
      </c>
      <c r="X132">
        <v>1</v>
      </c>
      <c r="Y132">
        <v>0</v>
      </c>
      <c r="Z132" s="8" t="s">
        <v>167</v>
      </c>
      <c r="AA132" s="8" t="s">
        <v>91</v>
      </c>
      <c r="AB132" t="s">
        <v>21</v>
      </c>
    </row>
    <row r="133" spans="1:38">
      <c r="A133" s="8">
        <v>2002</v>
      </c>
      <c r="B133" s="8">
        <v>33</v>
      </c>
      <c r="C133" s="8"/>
      <c r="D133" s="8" t="s">
        <v>60</v>
      </c>
      <c r="F133" t="s">
        <v>61</v>
      </c>
      <c r="G133" s="8" t="s">
        <v>22</v>
      </c>
      <c r="H133" t="s">
        <v>24</v>
      </c>
      <c r="I133" s="8" t="s">
        <v>152</v>
      </c>
      <c r="J133" t="s">
        <v>184</v>
      </c>
      <c r="K133" s="8" t="s">
        <v>41</v>
      </c>
      <c r="L133" t="s">
        <v>35</v>
      </c>
      <c r="O133">
        <v>0</v>
      </c>
      <c r="P133">
        <v>1</v>
      </c>
      <c r="Q133">
        <v>0</v>
      </c>
      <c r="R133">
        <v>1</v>
      </c>
      <c r="S133">
        <v>0</v>
      </c>
      <c r="T133">
        <v>0</v>
      </c>
      <c r="U133">
        <v>0</v>
      </c>
      <c r="V133">
        <v>0</v>
      </c>
      <c r="W133" s="8">
        <v>1</v>
      </c>
      <c r="X133">
        <v>1</v>
      </c>
      <c r="Y133">
        <v>0</v>
      </c>
      <c r="Z133" s="8" t="s">
        <v>167</v>
      </c>
      <c r="AA133" s="8" t="s">
        <v>91</v>
      </c>
      <c r="AB133" t="s">
        <v>21</v>
      </c>
    </row>
    <row r="134" spans="1:38">
      <c r="A134" s="8">
        <v>2002</v>
      </c>
      <c r="B134" s="8">
        <v>33</v>
      </c>
      <c r="C134" s="8"/>
      <c r="D134" s="8" t="s">
        <v>60</v>
      </c>
      <c r="F134" t="s">
        <v>61</v>
      </c>
      <c r="G134" s="8" t="s">
        <v>192</v>
      </c>
      <c r="H134" t="s">
        <v>195</v>
      </c>
      <c r="I134" s="8" t="s">
        <v>152</v>
      </c>
      <c r="J134" t="s">
        <v>184</v>
      </c>
      <c r="K134" s="8" t="s">
        <v>41</v>
      </c>
      <c r="L134" t="s">
        <v>35</v>
      </c>
      <c r="O134">
        <v>0</v>
      </c>
      <c r="P134">
        <v>1</v>
      </c>
      <c r="Q134">
        <v>0</v>
      </c>
      <c r="R134">
        <v>1</v>
      </c>
      <c r="S134">
        <v>0</v>
      </c>
      <c r="T134">
        <v>0</v>
      </c>
      <c r="U134">
        <v>0</v>
      </c>
      <c r="V134">
        <v>0</v>
      </c>
      <c r="W134" s="8">
        <v>1</v>
      </c>
      <c r="X134">
        <v>1</v>
      </c>
      <c r="Y134">
        <v>0</v>
      </c>
      <c r="Z134" s="8" t="s">
        <v>167</v>
      </c>
      <c r="AA134" s="8" t="s">
        <v>91</v>
      </c>
      <c r="AB134" t="s">
        <v>21</v>
      </c>
    </row>
    <row r="135" spans="1:38">
      <c r="A135" s="8">
        <v>2002</v>
      </c>
      <c r="B135" s="8">
        <v>33</v>
      </c>
      <c r="C135" s="8"/>
      <c r="D135" s="8" t="s">
        <v>60</v>
      </c>
      <c r="F135" t="s">
        <v>61</v>
      </c>
      <c r="G135" s="8" t="s">
        <v>152</v>
      </c>
      <c r="H135" t="s">
        <v>184</v>
      </c>
      <c r="I135" s="8" t="s">
        <v>152</v>
      </c>
      <c r="J135" t="s">
        <v>184</v>
      </c>
      <c r="K135" s="8" t="s">
        <v>41</v>
      </c>
      <c r="L135" t="s">
        <v>35</v>
      </c>
      <c r="O135">
        <v>0</v>
      </c>
      <c r="P135">
        <v>1</v>
      </c>
      <c r="Q135">
        <v>1</v>
      </c>
      <c r="R135">
        <v>1</v>
      </c>
      <c r="S135">
        <v>0</v>
      </c>
      <c r="T135">
        <v>0</v>
      </c>
      <c r="U135">
        <v>0</v>
      </c>
      <c r="V135">
        <v>0</v>
      </c>
      <c r="W135" s="8">
        <v>1</v>
      </c>
      <c r="X135">
        <v>1</v>
      </c>
      <c r="Y135">
        <v>0</v>
      </c>
      <c r="Z135" s="8" t="s">
        <v>167</v>
      </c>
      <c r="AA135" s="8" t="s">
        <v>91</v>
      </c>
      <c r="AB135" t="s">
        <v>21</v>
      </c>
    </row>
    <row r="136" spans="1:38">
      <c r="A136" s="8">
        <v>2002</v>
      </c>
      <c r="B136" s="8">
        <v>33</v>
      </c>
      <c r="C136" s="8"/>
      <c r="D136" s="8" t="s">
        <v>60</v>
      </c>
      <c r="F136" t="s">
        <v>61</v>
      </c>
      <c r="G136" s="8" t="s">
        <v>202</v>
      </c>
      <c r="H136" t="s">
        <v>205</v>
      </c>
      <c r="I136" s="8" t="s">
        <v>152</v>
      </c>
      <c r="J136" t="s">
        <v>184</v>
      </c>
      <c r="K136" s="8" t="s">
        <v>41</v>
      </c>
      <c r="L136" t="s">
        <v>35</v>
      </c>
      <c r="O136">
        <v>0</v>
      </c>
      <c r="P136">
        <v>1</v>
      </c>
      <c r="Q136">
        <v>0</v>
      </c>
      <c r="R136">
        <v>1</v>
      </c>
      <c r="S136">
        <v>0</v>
      </c>
      <c r="T136">
        <v>0</v>
      </c>
      <c r="U136">
        <v>0</v>
      </c>
      <c r="V136">
        <v>0</v>
      </c>
      <c r="W136" s="8">
        <v>1</v>
      </c>
      <c r="X136">
        <v>1</v>
      </c>
      <c r="Y136">
        <v>0</v>
      </c>
      <c r="Z136" s="8" t="s">
        <v>167</v>
      </c>
      <c r="AA136" s="8" t="s">
        <v>91</v>
      </c>
      <c r="AB136" t="s">
        <v>21</v>
      </c>
    </row>
    <row r="137" spans="1:38">
      <c r="A137" s="8">
        <v>2002</v>
      </c>
      <c r="B137" s="8">
        <v>33</v>
      </c>
      <c r="C137" s="8"/>
      <c r="D137" s="8" t="s">
        <v>60</v>
      </c>
      <c r="F137" t="s">
        <v>61</v>
      </c>
      <c r="G137" s="8" t="s">
        <v>193</v>
      </c>
      <c r="H137" t="s">
        <v>185</v>
      </c>
      <c r="I137" s="8" t="s">
        <v>152</v>
      </c>
      <c r="J137" t="s">
        <v>184</v>
      </c>
      <c r="K137" s="8" t="s">
        <v>41</v>
      </c>
      <c r="L137" t="s">
        <v>35</v>
      </c>
      <c r="O137">
        <v>0</v>
      </c>
      <c r="P137">
        <v>1</v>
      </c>
      <c r="Q137">
        <v>0</v>
      </c>
      <c r="R137">
        <v>1</v>
      </c>
      <c r="S137">
        <v>0</v>
      </c>
      <c r="T137">
        <v>0</v>
      </c>
      <c r="U137">
        <v>0</v>
      </c>
      <c r="V137">
        <v>0</v>
      </c>
      <c r="W137" s="8">
        <v>1</v>
      </c>
      <c r="X137">
        <v>1</v>
      </c>
      <c r="Y137">
        <v>0</v>
      </c>
      <c r="Z137" s="8" t="s">
        <v>167</v>
      </c>
      <c r="AA137" s="8" t="s">
        <v>91</v>
      </c>
      <c r="AB137" t="s">
        <v>21</v>
      </c>
    </row>
    <row r="138" spans="1:38">
      <c r="A138" s="8">
        <v>2002</v>
      </c>
      <c r="B138" s="8">
        <v>33</v>
      </c>
      <c r="C138" s="8"/>
      <c r="D138" s="8" t="s">
        <v>60</v>
      </c>
      <c r="F138" t="s">
        <v>61</v>
      </c>
      <c r="G138" s="8" t="s">
        <v>203</v>
      </c>
      <c r="H138" t="s">
        <v>206</v>
      </c>
      <c r="I138" s="8" t="s">
        <v>152</v>
      </c>
      <c r="J138" t="s">
        <v>184</v>
      </c>
      <c r="K138" s="8" t="s">
        <v>41</v>
      </c>
      <c r="L138" t="s">
        <v>35</v>
      </c>
      <c r="O138">
        <v>0</v>
      </c>
      <c r="P138">
        <v>1</v>
      </c>
      <c r="Q138">
        <v>0</v>
      </c>
      <c r="R138">
        <v>1</v>
      </c>
      <c r="S138">
        <v>0</v>
      </c>
      <c r="T138">
        <v>0</v>
      </c>
      <c r="U138">
        <v>0</v>
      </c>
      <c r="V138">
        <v>0</v>
      </c>
      <c r="W138" s="8">
        <v>1</v>
      </c>
      <c r="X138">
        <v>1</v>
      </c>
      <c r="Y138">
        <v>0</v>
      </c>
      <c r="Z138" s="8" t="s">
        <v>167</v>
      </c>
      <c r="AA138" s="8" t="s">
        <v>91</v>
      </c>
      <c r="AB138" t="s">
        <v>21</v>
      </c>
    </row>
    <row r="139" spans="1:38">
      <c r="A139" s="8">
        <v>2002</v>
      </c>
      <c r="B139" s="8">
        <v>33</v>
      </c>
      <c r="C139" s="8"/>
      <c r="D139" s="8" t="s">
        <v>60</v>
      </c>
      <c r="F139" t="s">
        <v>61</v>
      </c>
      <c r="G139" s="8" t="s">
        <v>204</v>
      </c>
      <c r="H139" t="s">
        <v>207</v>
      </c>
      <c r="I139" s="8" t="s">
        <v>152</v>
      </c>
      <c r="J139" t="s">
        <v>184</v>
      </c>
      <c r="K139" s="8" t="s">
        <v>41</v>
      </c>
      <c r="L139" t="s">
        <v>35</v>
      </c>
      <c r="O139">
        <v>0</v>
      </c>
      <c r="P139">
        <v>1</v>
      </c>
      <c r="Q139">
        <v>0</v>
      </c>
      <c r="R139">
        <v>1</v>
      </c>
      <c r="S139">
        <v>0</v>
      </c>
      <c r="T139">
        <v>0</v>
      </c>
      <c r="U139">
        <v>0</v>
      </c>
      <c r="V139">
        <v>0</v>
      </c>
      <c r="W139" s="8">
        <v>1</v>
      </c>
      <c r="X139">
        <v>1</v>
      </c>
      <c r="Y139">
        <v>0</v>
      </c>
      <c r="Z139" s="8" t="s">
        <v>167</v>
      </c>
      <c r="AA139" s="8" t="s">
        <v>91</v>
      </c>
      <c r="AB139" t="s">
        <v>21</v>
      </c>
    </row>
    <row r="140" spans="1:38">
      <c r="A140" s="8">
        <v>2002</v>
      </c>
      <c r="B140" s="8">
        <v>34</v>
      </c>
      <c r="C140" s="8"/>
      <c r="D140" s="8" t="s">
        <v>60</v>
      </c>
      <c r="F140" t="s">
        <v>61</v>
      </c>
      <c r="G140" s="8" t="s">
        <v>193</v>
      </c>
      <c r="H140" s="8" t="s">
        <v>185</v>
      </c>
      <c r="I140" s="8" t="s">
        <v>193</v>
      </c>
      <c r="J140" t="s">
        <v>185</v>
      </c>
      <c r="K140" s="8" t="s">
        <v>65</v>
      </c>
      <c r="L140" s="8" t="s">
        <v>193</v>
      </c>
      <c r="M140" s="8"/>
      <c r="N140" s="8"/>
      <c r="O140">
        <v>1</v>
      </c>
      <c r="P140">
        <v>0</v>
      </c>
      <c r="Q140">
        <v>1</v>
      </c>
      <c r="R140">
        <v>0</v>
      </c>
      <c r="S140">
        <v>1</v>
      </c>
      <c r="T140">
        <v>0</v>
      </c>
      <c r="U140">
        <v>0</v>
      </c>
      <c r="V140">
        <v>0</v>
      </c>
      <c r="W140" s="8">
        <v>0</v>
      </c>
      <c r="X140">
        <v>0</v>
      </c>
      <c r="Y140">
        <v>0</v>
      </c>
      <c r="Z140" s="8"/>
      <c r="AA140" s="8" t="s">
        <v>92</v>
      </c>
      <c r="AB140" t="s">
        <v>21</v>
      </c>
    </row>
    <row r="141" spans="1:38">
      <c r="A141" s="8">
        <v>2003</v>
      </c>
      <c r="B141" s="8">
        <v>35</v>
      </c>
      <c r="C141" s="8"/>
      <c r="D141" s="8" t="s">
        <v>60</v>
      </c>
      <c r="F141" t="s">
        <v>61</v>
      </c>
      <c r="G141" s="8" t="s">
        <v>35</v>
      </c>
      <c r="I141" s="8" t="s">
        <v>152</v>
      </c>
      <c r="J141" t="s">
        <v>184</v>
      </c>
      <c r="K141" s="8" t="s">
        <v>41</v>
      </c>
      <c r="L141" t="s">
        <v>35</v>
      </c>
      <c r="O141">
        <v>0</v>
      </c>
      <c r="P141">
        <v>1</v>
      </c>
      <c r="Q141">
        <v>1</v>
      </c>
      <c r="R141">
        <v>0</v>
      </c>
      <c r="S141">
        <v>0</v>
      </c>
      <c r="T141">
        <v>0</v>
      </c>
      <c r="U141">
        <v>0</v>
      </c>
      <c r="V141">
        <v>0</v>
      </c>
      <c r="W141" s="8">
        <v>0</v>
      </c>
      <c r="X141">
        <v>0</v>
      </c>
      <c r="Y141">
        <v>0</v>
      </c>
      <c r="Z141" s="8"/>
      <c r="AA141" s="8" t="s">
        <v>93</v>
      </c>
      <c r="AB141" t="s">
        <v>21</v>
      </c>
    </row>
    <row r="142" spans="1:38">
      <c r="A142" s="8">
        <v>2003</v>
      </c>
      <c r="B142" s="8">
        <v>35</v>
      </c>
      <c r="C142" s="8"/>
      <c r="D142" s="8" t="s">
        <v>60</v>
      </c>
      <c r="F142" t="s">
        <v>61</v>
      </c>
      <c r="G142" s="8" t="s">
        <v>191</v>
      </c>
      <c r="H142" t="s">
        <v>194</v>
      </c>
      <c r="I142" s="8" t="s">
        <v>152</v>
      </c>
      <c r="J142" t="s">
        <v>184</v>
      </c>
      <c r="K142" s="8" t="s">
        <v>41</v>
      </c>
      <c r="L142" t="s">
        <v>35</v>
      </c>
      <c r="O142">
        <v>0</v>
      </c>
      <c r="P142">
        <v>1</v>
      </c>
      <c r="Q142">
        <v>0</v>
      </c>
      <c r="R142">
        <v>0</v>
      </c>
      <c r="S142">
        <v>0</v>
      </c>
      <c r="T142">
        <v>0</v>
      </c>
      <c r="U142">
        <v>0</v>
      </c>
      <c r="V142">
        <v>0</v>
      </c>
      <c r="W142" s="8">
        <v>0</v>
      </c>
      <c r="X142">
        <v>0</v>
      </c>
      <c r="Y142">
        <v>0</v>
      </c>
      <c r="Z142" s="8"/>
      <c r="AA142" s="8" t="s">
        <v>93</v>
      </c>
      <c r="AB142" t="s">
        <v>21</v>
      </c>
    </row>
    <row r="143" spans="1:38">
      <c r="A143" s="8">
        <v>2003</v>
      </c>
      <c r="B143" s="8">
        <v>35</v>
      </c>
      <c r="C143" s="8"/>
      <c r="D143" s="8" t="s">
        <v>60</v>
      </c>
      <c r="F143" t="s">
        <v>61</v>
      </c>
      <c r="G143" s="8" t="s">
        <v>22</v>
      </c>
      <c r="H143" t="s">
        <v>24</v>
      </c>
      <c r="I143" s="8" t="s">
        <v>152</v>
      </c>
      <c r="J143" t="s">
        <v>184</v>
      </c>
      <c r="K143" s="8" t="s">
        <v>41</v>
      </c>
      <c r="L143" t="s">
        <v>35</v>
      </c>
      <c r="O143">
        <v>0</v>
      </c>
      <c r="P143">
        <v>1</v>
      </c>
      <c r="Q143">
        <v>0</v>
      </c>
      <c r="R143">
        <v>0</v>
      </c>
      <c r="S143">
        <v>0</v>
      </c>
      <c r="T143">
        <v>0</v>
      </c>
      <c r="U143">
        <v>0</v>
      </c>
      <c r="V143">
        <v>0</v>
      </c>
      <c r="W143" s="8">
        <v>0</v>
      </c>
      <c r="X143">
        <v>0</v>
      </c>
      <c r="Y143">
        <v>0</v>
      </c>
      <c r="Z143" s="8"/>
      <c r="AA143" s="8" t="s">
        <v>93</v>
      </c>
      <c r="AB143" t="s">
        <v>21</v>
      </c>
    </row>
    <row r="144" spans="1:38">
      <c r="A144" s="8">
        <v>2003</v>
      </c>
      <c r="B144" s="8">
        <v>35</v>
      </c>
      <c r="C144" s="8"/>
      <c r="D144" s="8" t="s">
        <v>60</v>
      </c>
      <c r="F144" t="s">
        <v>61</v>
      </c>
      <c r="G144" s="8" t="s">
        <v>192</v>
      </c>
      <c r="H144" t="s">
        <v>195</v>
      </c>
      <c r="I144" s="8" t="s">
        <v>152</v>
      </c>
      <c r="J144" t="s">
        <v>184</v>
      </c>
      <c r="K144" s="8" t="s">
        <v>41</v>
      </c>
      <c r="L144" t="s">
        <v>35</v>
      </c>
      <c r="O144">
        <v>0</v>
      </c>
      <c r="P144">
        <v>1</v>
      </c>
      <c r="Q144">
        <v>0</v>
      </c>
      <c r="R144">
        <v>0</v>
      </c>
      <c r="S144">
        <v>0</v>
      </c>
      <c r="T144">
        <v>0</v>
      </c>
      <c r="U144">
        <v>0</v>
      </c>
      <c r="V144">
        <v>0</v>
      </c>
      <c r="W144" s="8">
        <v>0</v>
      </c>
      <c r="X144">
        <v>0</v>
      </c>
      <c r="Y144">
        <v>0</v>
      </c>
      <c r="Z144" s="8"/>
      <c r="AA144" s="8" t="s">
        <v>93</v>
      </c>
      <c r="AB144" t="s">
        <v>21</v>
      </c>
    </row>
    <row r="145" spans="1:32">
      <c r="A145" s="8">
        <v>2003</v>
      </c>
      <c r="B145" s="8">
        <v>35</v>
      </c>
      <c r="C145" s="8"/>
      <c r="D145" s="8" t="s">
        <v>60</v>
      </c>
      <c r="F145" t="s">
        <v>61</v>
      </c>
      <c r="G145" s="8" t="s">
        <v>152</v>
      </c>
      <c r="H145" t="s">
        <v>184</v>
      </c>
      <c r="I145" s="8" t="s">
        <v>152</v>
      </c>
      <c r="J145" t="s">
        <v>184</v>
      </c>
      <c r="K145" s="8" t="s">
        <v>41</v>
      </c>
      <c r="L145" t="s">
        <v>35</v>
      </c>
      <c r="O145">
        <v>0</v>
      </c>
      <c r="P145">
        <v>1</v>
      </c>
      <c r="Q145">
        <v>1</v>
      </c>
      <c r="R145">
        <v>0</v>
      </c>
      <c r="S145">
        <v>0</v>
      </c>
      <c r="T145">
        <v>0</v>
      </c>
      <c r="U145">
        <v>0</v>
      </c>
      <c r="V145">
        <v>0</v>
      </c>
      <c r="W145" s="8">
        <v>0</v>
      </c>
      <c r="X145">
        <v>0</v>
      </c>
      <c r="Y145">
        <v>0</v>
      </c>
      <c r="Z145" s="8"/>
      <c r="AA145" s="8" t="s">
        <v>93</v>
      </c>
      <c r="AB145" t="s">
        <v>21</v>
      </c>
    </row>
    <row r="146" spans="1:32">
      <c r="A146" s="8">
        <v>2003</v>
      </c>
      <c r="B146" s="8">
        <v>35</v>
      </c>
      <c r="C146" s="8"/>
      <c r="D146" s="8" t="s">
        <v>60</v>
      </c>
      <c r="F146" t="s">
        <v>61</v>
      </c>
      <c r="G146" s="8" t="s">
        <v>202</v>
      </c>
      <c r="H146" t="s">
        <v>205</v>
      </c>
      <c r="I146" s="8" t="s">
        <v>152</v>
      </c>
      <c r="J146" t="s">
        <v>184</v>
      </c>
      <c r="K146" s="8" t="s">
        <v>41</v>
      </c>
      <c r="L146" t="s">
        <v>35</v>
      </c>
      <c r="O146">
        <v>0</v>
      </c>
      <c r="P146">
        <v>1</v>
      </c>
      <c r="Q146">
        <v>0</v>
      </c>
      <c r="R146">
        <v>0</v>
      </c>
      <c r="S146">
        <v>0</v>
      </c>
      <c r="T146">
        <v>0</v>
      </c>
      <c r="U146">
        <v>0</v>
      </c>
      <c r="V146">
        <v>0</v>
      </c>
      <c r="W146" s="8">
        <v>0</v>
      </c>
      <c r="X146">
        <v>0</v>
      </c>
      <c r="Y146">
        <v>0</v>
      </c>
      <c r="Z146" s="8"/>
      <c r="AA146" s="8" t="s">
        <v>93</v>
      </c>
      <c r="AB146" t="s">
        <v>21</v>
      </c>
    </row>
    <row r="147" spans="1:32">
      <c r="A147" s="8">
        <v>2003</v>
      </c>
      <c r="B147" s="8">
        <v>35</v>
      </c>
      <c r="C147" s="8"/>
      <c r="D147" s="8" t="s">
        <v>60</v>
      </c>
      <c r="F147" t="s">
        <v>61</v>
      </c>
      <c r="G147" s="8" t="s">
        <v>193</v>
      </c>
      <c r="H147" t="s">
        <v>185</v>
      </c>
      <c r="I147" s="8" t="s">
        <v>152</v>
      </c>
      <c r="J147" t="s">
        <v>184</v>
      </c>
      <c r="K147" s="8" t="s">
        <v>41</v>
      </c>
      <c r="L147" t="s">
        <v>35</v>
      </c>
      <c r="O147">
        <v>0</v>
      </c>
      <c r="P147">
        <v>1</v>
      </c>
      <c r="Q147">
        <v>0</v>
      </c>
      <c r="R147">
        <v>0</v>
      </c>
      <c r="S147">
        <v>0</v>
      </c>
      <c r="T147">
        <v>0</v>
      </c>
      <c r="U147">
        <v>0</v>
      </c>
      <c r="V147">
        <v>0</v>
      </c>
      <c r="W147" s="8">
        <v>0</v>
      </c>
      <c r="X147">
        <v>0</v>
      </c>
      <c r="Y147">
        <v>0</v>
      </c>
      <c r="Z147" s="8"/>
      <c r="AA147" s="8" t="s">
        <v>93</v>
      </c>
      <c r="AB147" t="s">
        <v>21</v>
      </c>
    </row>
    <row r="148" spans="1:32">
      <c r="A148" s="8">
        <v>2003</v>
      </c>
      <c r="B148" s="8">
        <v>35</v>
      </c>
      <c r="C148" s="8"/>
      <c r="D148" s="8" t="s">
        <v>60</v>
      </c>
      <c r="F148" t="s">
        <v>61</v>
      </c>
      <c r="G148" s="8" t="s">
        <v>203</v>
      </c>
      <c r="H148" t="s">
        <v>206</v>
      </c>
      <c r="I148" s="8" t="s">
        <v>152</v>
      </c>
      <c r="J148" t="s">
        <v>184</v>
      </c>
      <c r="K148" s="8" t="s">
        <v>41</v>
      </c>
      <c r="L148" t="s">
        <v>35</v>
      </c>
      <c r="O148">
        <v>0</v>
      </c>
      <c r="P148">
        <v>1</v>
      </c>
      <c r="Q148">
        <v>0</v>
      </c>
      <c r="R148">
        <v>0</v>
      </c>
      <c r="S148">
        <v>0</v>
      </c>
      <c r="T148">
        <v>0</v>
      </c>
      <c r="U148">
        <v>0</v>
      </c>
      <c r="V148">
        <v>1</v>
      </c>
      <c r="W148" s="8">
        <v>0</v>
      </c>
      <c r="X148">
        <v>0</v>
      </c>
      <c r="Y148">
        <v>0</v>
      </c>
      <c r="Z148" s="8"/>
      <c r="AA148" s="8" t="s">
        <v>93</v>
      </c>
      <c r="AB148" t="s">
        <v>21</v>
      </c>
      <c r="AC148" t="s">
        <v>1158</v>
      </c>
    </row>
    <row r="149" spans="1:32">
      <c r="A149" s="8">
        <v>2003</v>
      </c>
      <c r="B149" s="8">
        <v>35</v>
      </c>
      <c r="C149" s="8"/>
      <c r="D149" s="8" t="s">
        <v>60</v>
      </c>
      <c r="F149" t="s">
        <v>61</v>
      </c>
      <c r="G149" s="8" t="s">
        <v>204</v>
      </c>
      <c r="H149" t="s">
        <v>207</v>
      </c>
      <c r="I149" s="8" t="s">
        <v>152</v>
      </c>
      <c r="J149" t="s">
        <v>184</v>
      </c>
      <c r="K149" s="8" t="s">
        <v>41</v>
      </c>
      <c r="L149" t="s">
        <v>35</v>
      </c>
      <c r="O149">
        <v>0</v>
      </c>
      <c r="P149">
        <v>1</v>
      </c>
      <c r="Q149">
        <v>0</v>
      </c>
      <c r="R149">
        <v>0</v>
      </c>
      <c r="S149">
        <v>0</v>
      </c>
      <c r="T149">
        <v>0</v>
      </c>
      <c r="U149">
        <v>0</v>
      </c>
      <c r="V149">
        <v>0</v>
      </c>
      <c r="W149" s="8">
        <v>0</v>
      </c>
      <c r="X149">
        <v>0</v>
      </c>
      <c r="Y149">
        <v>0</v>
      </c>
      <c r="Z149" s="8"/>
      <c r="AA149" s="8" t="s">
        <v>93</v>
      </c>
      <c r="AB149" t="s">
        <v>21</v>
      </c>
    </row>
    <row r="150" spans="1:32">
      <c r="A150" s="8">
        <v>2003</v>
      </c>
      <c r="B150" s="8">
        <v>36</v>
      </c>
      <c r="C150" s="8"/>
      <c r="D150" s="8" t="s">
        <v>60</v>
      </c>
      <c r="F150" t="s">
        <v>61</v>
      </c>
      <c r="G150" s="8" t="s">
        <v>35</v>
      </c>
      <c r="I150" s="8" t="s">
        <v>152</v>
      </c>
      <c r="J150" t="s">
        <v>184</v>
      </c>
      <c r="K150" s="8" t="s">
        <v>41</v>
      </c>
      <c r="L150" t="s">
        <v>35</v>
      </c>
      <c r="O150">
        <v>0</v>
      </c>
      <c r="P150">
        <v>1</v>
      </c>
      <c r="Q150">
        <v>0</v>
      </c>
      <c r="R150">
        <v>1</v>
      </c>
      <c r="S150">
        <v>0</v>
      </c>
      <c r="T150">
        <v>0</v>
      </c>
      <c r="U150">
        <v>1</v>
      </c>
      <c r="V150">
        <v>0</v>
      </c>
      <c r="W150" s="8">
        <v>1</v>
      </c>
      <c r="X150">
        <v>1</v>
      </c>
      <c r="Y150">
        <v>0</v>
      </c>
      <c r="Z150" s="8" t="s">
        <v>168</v>
      </c>
      <c r="AA150" s="8" t="s">
        <v>94</v>
      </c>
      <c r="AB150" t="s">
        <v>21</v>
      </c>
      <c r="AD150" t="s">
        <v>304</v>
      </c>
      <c r="AF150" t="s">
        <v>305</v>
      </c>
    </row>
    <row r="151" spans="1:32">
      <c r="A151" s="8">
        <v>2003</v>
      </c>
      <c r="B151" s="8">
        <v>36</v>
      </c>
      <c r="C151" s="8"/>
      <c r="D151" s="8" t="s">
        <v>60</v>
      </c>
      <c r="F151" t="s">
        <v>61</v>
      </c>
      <c r="G151" s="8" t="s">
        <v>191</v>
      </c>
      <c r="H151" t="s">
        <v>194</v>
      </c>
      <c r="I151" s="8" t="s">
        <v>152</v>
      </c>
      <c r="J151" t="s">
        <v>184</v>
      </c>
      <c r="K151" s="8" t="s">
        <v>41</v>
      </c>
      <c r="L151" t="s">
        <v>35</v>
      </c>
      <c r="O151">
        <v>0</v>
      </c>
      <c r="P151">
        <v>1</v>
      </c>
      <c r="Q151">
        <v>0</v>
      </c>
      <c r="R151">
        <v>1</v>
      </c>
      <c r="S151">
        <v>0</v>
      </c>
      <c r="T151">
        <v>0</v>
      </c>
      <c r="U151">
        <v>0</v>
      </c>
      <c r="V151">
        <v>0</v>
      </c>
      <c r="W151" s="8">
        <v>1</v>
      </c>
      <c r="X151">
        <v>1</v>
      </c>
      <c r="Y151">
        <v>0</v>
      </c>
      <c r="Z151" s="8" t="s">
        <v>168</v>
      </c>
      <c r="AA151" s="8" t="s">
        <v>94</v>
      </c>
      <c r="AB151" t="s">
        <v>21</v>
      </c>
      <c r="AD151" t="s">
        <v>304</v>
      </c>
      <c r="AF151" t="s">
        <v>305</v>
      </c>
    </row>
    <row r="152" spans="1:32">
      <c r="A152" s="8">
        <v>2003</v>
      </c>
      <c r="B152" s="8">
        <v>36</v>
      </c>
      <c r="C152" s="8"/>
      <c r="D152" s="8" t="s">
        <v>60</v>
      </c>
      <c r="F152" t="s">
        <v>61</v>
      </c>
      <c r="G152" s="8" t="s">
        <v>22</v>
      </c>
      <c r="H152" t="s">
        <v>24</v>
      </c>
      <c r="I152" s="8" t="s">
        <v>152</v>
      </c>
      <c r="J152" t="s">
        <v>184</v>
      </c>
      <c r="K152" s="8" t="s">
        <v>41</v>
      </c>
      <c r="L152" t="s">
        <v>35</v>
      </c>
      <c r="O152">
        <v>0</v>
      </c>
      <c r="P152">
        <v>1</v>
      </c>
      <c r="Q152">
        <v>0</v>
      </c>
      <c r="R152">
        <v>1</v>
      </c>
      <c r="S152">
        <v>0</v>
      </c>
      <c r="T152">
        <v>0</v>
      </c>
      <c r="U152">
        <v>0</v>
      </c>
      <c r="V152">
        <v>0</v>
      </c>
      <c r="W152" s="8">
        <v>1</v>
      </c>
      <c r="X152">
        <v>1</v>
      </c>
      <c r="Y152">
        <v>0</v>
      </c>
      <c r="Z152" s="8" t="s">
        <v>168</v>
      </c>
      <c r="AA152" s="8" t="s">
        <v>94</v>
      </c>
      <c r="AB152" t="s">
        <v>21</v>
      </c>
      <c r="AD152" t="s">
        <v>304</v>
      </c>
      <c r="AF152" t="s">
        <v>305</v>
      </c>
    </row>
    <row r="153" spans="1:32">
      <c r="A153" s="8">
        <v>2003</v>
      </c>
      <c r="B153" s="8">
        <v>36</v>
      </c>
      <c r="C153" s="8"/>
      <c r="D153" s="8" t="s">
        <v>60</v>
      </c>
      <c r="F153" t="s">
        <v>61</v>
      </c>
      <c r="G153" s="8" t="s">
        <v>192</v>
      </c>
      <c r="H153" t="s">
        <v>195</v>
      </c>
      <c r="I153" s="8" t="s">
        <v>152</v>
      </c>
      <c r="J153" t="s">
        <v>184</v>
      </c>
      <c r="K153" s="8" t="s">
        <v>41</v>
      </c>
      <c r="L153" t="s">
        <v>35</v>
      </c>
      <c r="O153">
        <v>0</v>
      </c>
      <c r="P153">
        <v>1</v>
      </c>
      <c r="Q153">
        <v>0</v>
      </c>
      <c r="R153">
        <v>1</v>
      </c>
      <c r="S153">
        <v>0</v>
      </c>
      <c r="T153">
        <v>0</v>
      </c>
      <c r="U153">
        <v>0</v>
      </c>
      <c r="V153">
        <v>0</v>
      </c>
      <c r="W153" s="8">
        <v>1</v>
      </c>
      <c r="X153">
        <v>1</v>
      </c>
      <c r="Y153">
        <v>0</v>
      </c>
      <c r="Z153" s="8" t="s">
        <v>168</v>
      </c>
      <c r="AA153" s="8" t="s">
        <v>94</v>
      </c>
      <c r="AB153" t="s">
        <v>21</v>
      </c>
      <c r="AD153" t="s">
        <v>304</v>
      </c>
      <c r="AF153" t="s">
        <v>305</v>
      </c>
    </row>
    <row r="154" spans="1:32">
      <c r="A154" s="8">
        <v>2003</v>
      </c>
      <c r="B154" s="8">
        <v>36</v>
      </c>
      <c r="C154" s="8"/>
      <c r="D154" s="8" t="s">
        <v>60</v>
      </c>
      <c r="F154" t="s">
        <v>61</v>
      </c>
      <c r="G154" s="8" t="s">
        <v>152</v>
      </c>
      <c r="H154" t="s">
        <v>184</v>
      </c>
      <c r="I154" s="8" t="s">
        <v>152</v>
      </c>
      <c r="J154" t="s">
        <v>184</v>
      </c>
      <c r="K154" s="8" t="s">
        <v>41</v>
      </c>
      <c r="L154" t="s">
        <v>35</v>
      </c>
      <c r="O154">
        <v>0</v>
      </c>
      <c r="P154">
        <v>1</v>
      </c>
      <c r="Q154">
        <v>1</v>
      </c>
      <c r="R154">
        <v>1</v>
      </c>
      <c r="S154">
        <v>0</v>
      </c>
      <c r="T154">
        <v>0</v>
      </c>
      <c r="U154">
        <v>0</v>
      </c>
      <c r="V154">
        <v>0</v>
      </c>
      <c r="W154" s="8">
        <v>1</v>
      </c>
      <c r="X154">
        <v>1</v>
      </c>
      <c r="Y154">
        <v>0</v>
      </c>
      <c r="Z154" s="8" t="s">
        <v>168</v>
      </c>
      <c r="AA154" s="8" t="s">
        <v>94</v>
      </c>
      <c r="AB154" t="s">
        <v>21</v>
      </c>
      <c r="AD154" t="s">
        <v>304</v>
      </c>
      <c r="AF154" t="s">
        <v>305</v>
      </c>
    </row>
    <row r="155" spans="1:32">
      <c r="A155" s="8">
        <v>2003</v>
      </c>
      <c r="B155" s="8">
        <v>36</v>
      </c>
      <c r="C155" s="8"/>
      <c r="D155" s="8" t="s">
        <v>60</v>
      </c>
      <c r="F155" t="s">
        <v>61</v>
      </c>
      <c r="G155" s="8" t="s">
        <v>202</v>
      </c>
      <c r="H155" t="s">
        <v>205</v>
      </c>
      <c r="I155" s="8" t="s">
        <v>152</v>
      </c>
      <c r="J155" t="s">
        <v>184</v>
      </c>
      <c r="K155" s="8" t="s">
        <v>41</v>
      </c>
      <c r="L155" t="s">
        <v>35</v>
      </c>
      <c r="O155">
        <v>0</v>
      </c>
      <c r="P155">
        <v>1</v>
      </c>
      <c r="Q155">
        <v>0</v>
      </c>
      <c r="R155">
        <v>1</v>
      </c>
      <c r="S155">
        <v>0</v>
      </c>
      <c r="T155">
        <v>0</v>
      </c>
      <c r="U155">
        <v>0</v>
      </c>
      <c r="V155">
        <v>0</v>
      </c>
      <c r="W155" s="8">
        <v>1</v>
      </c>
      <c r="X155">
        <v>1</v>
      </c>
      <c r="Y155">
        <v>0</v>
      </c>
      <c r="Z155" s="8" t="s">
        <v>168</v>
      </c>
      <c r="AA155" s="8" t="s">
        <v>94</v>
      </c>
      <c r="AB155" t="s">
        <v>21</v>
      </c>
      <c r="AD155" t="s">
        <v>304</v>
      </c>
      <c r="AF155" t="s">
        <v>305</v>
      </c>
    </row>
    <row r="156" spans="1:32">
      <c r="A156" s="8">
        <v>2003</v>
      </c>
      <c r="B156" s="8">
        <v>36</v>
      </c>
      <c r="C156" s="8"/>
      <c r="D156" s="8" t="s">
        <v>60</v>
      </c>
      <c r="F156" t="s">
        <v>61</v>
      </c>
      <c r="G156" s="8" t="s">
        <v>193</v>
      </c>
      <c r="H156" t="s">
        <v>185</v>
      </c>
      <c r="I156" s="8" t="s">
        <v>152</v>
      </c>
      <c r="J156" t="s">
        <v>184</v>
      </c>
      <c r="K156" s="8" t="s">
        <v>41</v>
      </c>
      <c r="L156" t="s">
        <v>35</v>
      </c>
      <c r="O156">
        <v>0</v>
      </c>
      <c r="P156">
        <v>1</v>
      </c>
      <c r="Q156">
        <v>0</v>
      </c>
      <c r="R156">
        <v>1</v>
      </c>
      <c r="S156">
        <v>0</v>
      </c>
      <c r="T156">
        <v>0</v>
      </c>
      <c r="U156">
        <v>0</v>
      </c>
      <c r="V156">
        <v>0</v>
      </c>
      <c r="W156" s="8">
        <v>1</v>
      </c>
      <c r="X156">
        <v>1</v>
      </c>
      <c r="Y156">
        <v>0</v>
      </c>
      <c r="Z156" s="8" t="s">
        <v>168</v>
      </c>
      <c r="AA156" s="8" t="s">
        <v>94</v>
      </c>
      <c r="AB156" t="s">
        <v>21</v>
      </c>
      <c r="AD156" t="s">
        <v>304</v>
      </c>
      <c r="AF156" t="s">
        <v>305</v>
      </c>
    </row>
    <row r="157" spans="1:32">
      <c r="A157" s="8">
        <v>2003</v>
      </c>
      <c r="B157" s="8">
        <v>36</v>
      </c>
      <c r="C157" s="8"/>
      <c r="D157" s="8" t="s">
        <v>60</v>
      </c>
      <c r="F157" t="s">
        <v>61</v>
      </c>
      <c r="G157" s="8" t="s">
        <v>203</v>
      </c>
      <c r="H157" t="s">
        <v>206</v>
      </c>
      <c r="I157" s="8" t="s">
        <v>152</v>
      </c>
      <c r="J157" t="s">
        <v>184</v>
      </c>
      <c r="K157" s="8" t="s">
        <v>41</v>
      </c>
      <c r="L157" t="s">
        <v>35</v>
      </c>
      <c r="O157">
        <v>0</v>
      </c>
      <c r="P157">
        <v>1</v>
      </c>
      <c r="Q157">
        <v>0</v>
      </c>
      <c r="R157">
        <v>1</v>
      </c>
      <c r="S157">
        <v>0</v>
      </c>
      <c r="T157">
        <v>0</v>
      </c>
      <c r="U157">
        <v>0</v>
      </c>
      <c r="V157">
        <v>0</v>
      </c>
      <c r="W157" s="8">
        <v>1</v>
      </c>
      <c r="X157">
        <v>1</v>
      </c>
      <c r="Y157">
        <v>0</v>
      </c>
      <c r="Z157" s="8" t="s">
        <v>168</v>
      </c>
      <c r="AA157" s="8" t="s">
        <v>94</v>
      </c>
      <c r="AB157" t="s">
        <v>21</v>
      </c>
      <c r="AD157" t="s">
        <v>304</v>
      </c>
      <c r="AF157" t="s">
        <v>305</v>
      </c>
    </row>
    <row r="158" spans="1:32">
      <c r="A158" s="8">
        <v>2003</v>
      </c>
      <c r="B158" s="8">
        <v>36</v>
      </c>
      <c r="C158" s="8"/>
      <c r="D158" s="8" t="s">
        <v>60</v>
      </c>
      <c r="F158" t="s">
        <v>61</v>
      </c>
      <c r="G158" s="8" t="s">
        <v>204</v>
      </c>
      <c r="H158" t="s">
        <v>207</v>
      </c>
      <c r="I158" s="8" t="s">
        <v>152</v>
      </c>
      <c r="J158" t="s">
        <v>184</v>
      </c>
      <c r="K158" s="8" t="s">
        <v>41</v>
      </c>
      <c r="L158" t="s">
        <v>35</v>
      </c>
      <c r="O158">
        <v>0</v>
      </c>
      <c r="P158">
        <v>1</v>
      </c>
      <c r="Q158">
        <v>0</v>
      </c>
      <c r="R158">
        <v>1</v>
      </c>
      <c r="S158">
        <v>0</v>
      </c>
      <c r="T158">
        <v>0</v>
      </c>
      <c r="U158">
        <v>0</v>
      </c>
      <c r="V158">
        <v>0</v>
      </c>
      <c r="W158" s="8">
        <v>1</v>
      </c>
      <c r="X158">
        <v>1</v>
      </c>
      <c r="Y158">
        <v>0</v>
      </c>
      <c r="Z158" s="8" t="s">
        <v>168</v>
      </c>
      <c r="AA158" s="8" t="s">
        <v>94</v>
      </c>
      <c r="AB158" t="s">
        <v>21</v>
      </c>
      <c r="AD158" t="s">
        <v>304</v>
      </c>
      <c r="AF158" t="s">
        <v>305</v>
      </c>
    </row>
    <row r="159" spans="1:32">
      <c r="A159" s="8">
        <v>2003</v>
      </c>
      <c r="B159" s="8">
        <v>37</v>
      </c>
      <c r="C159" s="8"/>
      <c r="D159" s="8" t="s">
        <v>60</v>
      </c>
      <c r="E159" t="s">
        <v>208</v>
      </c>
      <c r="F159" t="s">
        <v>61</v>
      </c>
      <c r="G159" s="8" t="s">
        <v>35</v>
      </c>
      <c r="I159" s="8" t="s">
        <v>152</v>
      </c>
      <c r="J159" t="s">
        <v>184</v>
      </c>
      <c r="K159" s="8" t="s">
        <v>41</v>
      </c>
      <c r="L159" t="s">
        <v>35</v>
      </c>
      <c r="O159">
        <v>0</v>
      </c>
      <c r="P159">
        <v>1</v>
      </c>
      <c r="Q159">
        <v>1</v>
      </c>
      <c r="R159">
        <v>0</v>
      </c>
      <c r="S159">
        <v>0</v>
      </c>
      <c r="T159">
        <v>0</v>
      </c>
      <c r="U159">
        <v>0</v>
      </c>
      <c r="V159">
        <v>0</v>
      </c>
      <c r="W159" s="8">
        <v>0</v>
      </c>
      <c r="X159">
        <v>0</v>
      </c>
      <c r="Y159">
        <v>0</v>
      </c>
      <c r="Z159" s="8"/>
      <c r="AA159" s="8" t="s">
        <v>95</v>
      </c>
      <c r="AB159" t="s">
        <v>21</v>
      </c>
    </row>
    <row r="160" spans="1:32">
      <c r="A160" s="8">
        <v>2003</v>
      </c>
      <c r="B160" s="8">
        <v>37</v>
      </c>
      <c r="C160" s="8"/>
      <c r="D160" s="8" t="s">
        <v>60</v>
      </c>
      <c r="E160" t="s">
        <v>208</v>
      </c>
      <c r="F160" t="s">
        <v>61</v>
      </c>
      <c r="G160" s="8" t="s">
        <v>191</v>
      </c>
      <c r="H160" t="s">
        <v>194</v>
      </c>
      <c r="I160" s="8" t="s">
        <v>152</v>
      </c>
      <c r="J160" t="s">
        <v>184</v>
      </c>
      <c r="K160" s="8" t="s">
        <v>41</v>
      </c>
      <c r="L160" t="s">
        <v>35</v>
      </c>
      <c r="O160">
        <v>0</v>
      </c>
      <c r="P160">
        <v>1</v>
      </c>
      <c r="Q160">
        <v>0</v>
      </c>
      <c r="R160">
        <v>0</v>
      </c>
      <c r="S160">
        <v>0</v>
      </c>
      <c r="T160">
        <v>0</v>
      </c>
      <c r="U160">
        <v>0</v>
      </c>
      <c r="V160">
        <v>0</v>
      </c>
      <c r="W160" s="8">
        <v>0</v>
      </c>
      <c r="X160">
        <v>0</v>
      </c>
      <c r="Y160">
        <v>0</v>
      </c>
      <c r="Z160" s="8"/>
      <c r="AA160" s="8" t="s">
        <v>95</v>
      </c>
      <c r="AB160" t="s">
        <v>21</v>
      </c>
    </row>
    <row r="161" spans="1:28">
      <c r="A161" s="8">
        <v>2003</v>
      </c>
      <c r="B161" s="8">
        <v>37</v>
      </c>
      <c r="C161" s="8"/>
      <c r="D161" s="8" t="s">
        <v>60</v>
      </c>
      <c r="E161" t="s">
        <v>208</v>
      </c>
      <c r="F161" t="s">
        <v>61</v>
      </c>
      <c r="G161" s="8" t="s">
        <v>22</v>
      </c>
      <c r="H161" t="s">
        <v>24</v>
      </c>
      <c r="I161" s="8" t="s">
        <v>152</v>
      </c>
      <c r="J161" t="s">
        <v>184</v>
      </c>
      <c r="K161" s="8" t="s">
        <v>41</v>
      </c>
      <c r="L161" t="s">
        <v>35</v>
      </c>
      <c r="O161">
        <v>0</v>
      </c>
      <c r="P161">
        <v>1</v>
      </c>
      <c r="Q161">
        <v>0</v>
      </c>
      <c r="R161">
        <v>0</v>
      </c>
      <c r="S161">
        <v>0</v>
      </c>
      <c r="T161">
        <v>0</v>
      </c>
      <c r="U161">
        <v>0</v>
      </c>
      <c r="V161">
        <v>0</v>
      </c>
      <c r="W161" s="8">
        <v>0</v>
      </c>
      <c r="X161">
        <v>0</v>
      </c>
      <c r="Y161">
        <v>0</v>
      </c>
      <c r="Z161" s="8"/>
      <c r="AA161" s="8" t="s">
        <v>95</v>
      </c>
      <c r="AB161" t="s">
        <v>21</v>
      </c>
    </row>
    <row r="162" spans="1:28">
      <c r="A162" s="8">
        <v>2003</v>
      </c>
      <c r="B162" s="8">
        <v>37</v>
      </c>
      <c r="C162" s="8"/>
      <c r="D162" s="8" t="s">
        <v>60</v>
      </c>
      <c r="E162" t="s">
        <v>208</v>
      </c>
      <c r="F162" t="s">
        <v>61</v>
      </c>
      <c r="G162" s="8" t="s">
        <v>192</v>
      </c>
      <c r="H162" t="s">
        <v>195</v>
      </c>
      <c r="I162" s="8" t="s">
        <v>152</v>
      </c>
      <c r="J162" t="s">
        <v>184</v>
      </c>
      <c r="K162" s="8" t="s">
        <v>41</v>
      </c>
      <c r="L162" t="s">
        <v>35</v>
      </c>
      <c r="O162">
        <v>0</v>
      </c>
      <c r="P162">
        <v>1</v>
      </c>
      <c r="Q162">
        <v>0</v>
      </c>
      <c r="R162">
        <v>0</v>
      </c>
      <c r="S162">
        <v>0</v>
      </c>
      <c r="T162">
        <v>0</v>
      </c>
      <c r="U162">
        <v>0</v>
      </c>
      <c r="V162">
        <v>0</v>
      </c>
      <c r="W162" s="8">
        <v>0</v>
      </c>
      <c r="X162">
        <v>0</v>
      </c>
      <c r="Y162">
        <v>0</v>
      </c>
      <c r="Z162" s="8"/>
      <c r="AA162" s="8" t="s">
        <v>95</v>
      </c>
      <c r="AB162" t="s">
        <v>21</v>
      </c>
    </row>
    <row r="163" spans="1:28">
      <c r="A163" s="8">
        <v>2003</v>
      </c>
      <c r="B163" s="8">
        <v>37</v>
      </c>
      <c r="C163" s="8"/>
      <c r="D163" s="8" t="s">
        <v>60</v>
      </c>
      <c r="E163" t="s">
        <v>208</v>
      </c>
      <c r="F163" t="s">
        <v>61</v>
      </c>
      <c r="G163" s="8" t="s">
        <v>152</v>
      </c>
      <c r="H163" t="s">
        <v>184</v>
      </c>
      <c r="I163" s="8" t="s">
        <v>152</v>
      </c>
      <c r="J163" t="s">
        <v>184</v>
      </c>
      <c r="K163" s="8" t="s">
        <v>41</v>
      </c>
      <c r="L163" t="s">
        <v>35</v>
      </c>
      <c r="O163">
        <v>0</v>
      </c>
      <c r="P163">
        <v>1</v>
      </c>
      <c r="Q163">
        <v>1</v>
      </c>
      <c r="R163">
        <v>0</v>
      </c>
      <c r="S163">
        <v>0</v>
      </c>
      <c r="T163">
        <v>0</v>
      </c>
      <c r="U163">
        <v>0</v>
      </c>
      <c r="V163">
        <v>0</v>
      </c>
      <c r="W163" s="8">
        <v>0</v>
      </c>
      <c r="X163">
        <v>0</v>
      </c>
      <c r="Y163">
        <v>0</v>
      </c>
      <c r="Z163" s="8"/>
      <c r="AA163" s="8" t="s">
        <v>95</v>
      </c>
      <c r="AB163" t="s">
        <v>21</v>
      </c>
    </row>
    <row r="164" spans="1:28">
      <c r="A164" s="8">
        <v>2003</v>
      </c>
      <c r="B164" s="8">
        <v>37</v>
      </c>
      <c r="C164" s="8"/>
      <c r="D164" s="8" t="s">
        <v>60</v>
      </c>
      <c r="E164" t="s">
        <v>208</v>
      </c>
      <c r="F164" t="s">
        <v>61</v>
      </c>
      <c r="G164" s="8" t="s">
        <v>202</v>
      </c>
      <c r="H164" t="s">
        <v>205</v>
      </c>
      <c r="I164" s="8" t="s">
        <v>152</v>
      </c>
      <c r="J164" t="s">
        <v>184</v>
      </c>
      <c r="K164" s="8" t="s">
        <v>41</v>
      </c>
      <c r="L164" t="s">
        <v>35</v>
      </c>
      <c r="O164">
        <v>0</v>
      </c>
      <c r="P164">
        <v>1</v>
      </c>
      <c r="Q164">
        <v>0</v>
      </c>
      <c r="R164">
        <v>0</v>
      </c>
      <c r="S164">
        <v>0</v>
      </c>
      <c r="T164">
        <v>0</v>
      </c>
      <c r="U164">
        <v>0</v>
      </c>
      <c r="V164">
        <v>0</v>
      </c>
      <c r="W164" s="8">
        <v>0</v>
      </c>
      <c r="X164">
        <v>0</v>
      </c>
      <c r="Y164">
        <v>0</v>
      </c>
      <c r="Z164" s="8"/>
      <c r="AA164" s="8" t="s">
        <v>95</v>
      </c>
      <c r="AB164" t="s">
        <v>21</v>
      </c>
    </row>
    <row r="165" spans="1:28">
      <c r="A165" s="8">
        <v>2003</v>
      </c>
      <c r="B165" s="8">
        <v>37</v>
      </c>
      <c r="C165" s="8"/>
      <c r="D165" s="8" t="s">
        <v>60</v>
      </c>
      <c r="E165" t="s">
        <v>208</v>
      </c>
      <c r="F165" t="s">
        <v>61</v>
      </c>
      <c r="G165" s="8" t="s">
        <v>193</v>
      </c>
      <c r="H165" t="s">
        <v>185</v>
      </c>
      <c r="I165" s="8" t="s">
        <v>152</v>
      </c>
      <c r="J165" t="s">
        <v>184</v>
      </c>
      <c r="K165" s="8" t="s">
        <v>41</v>
      </c>
      <c r="L165" t="s">
        <v>35</v>
      </c>
      <c r="O165">
        <v>0</v>
      </c>
      <c r="P165">
        <v>1</v>
      </c>
      <c r="Q165">
        <v>0</v>
      </c>
      <c r="R165">
        <v>0</v>
      </c>
      <c r="S165">
        <v>0</v>
      </c>
      <c r="T165">
        <v>0</v>
      </c>
      <c r="U165">
        <v>0</v>
      </c>
      <c r="V165">
        <v>0</v>
      </c>
      <c r="W165" s="8">
        <v>0</v>
      </c>
      <c r="X165">
        <v>0</v>
      </c>
      <c r="Y165">
        <v>0</v>
      </c>
      <c r="Z165" s="8"/>
      <c r="AA165" s="8" t="s">
        <v>95</v>
      </c>
      <c r="AB165" t="s">
        <v>21</v>
      </c>
    </row>
    <row r="166" spans="1:28">
      <c r="A166" s="8">
        <v>2003</v>
      </c>
      <c r="B166" s="8">
        <v>37</v>
      </c>
      <c r="C166" s="8"/>
      <c r="D166" s="8" t="s">
        <v>60</v>
      </c>
      <c r="E166" t="s">
        <v>208</v>
      </c>
      <c r="F166" t="s">
        <v>61</v>
      </c>
      <c r="G166" s="8" t="s">
        <v>203</v>
      </c>
      <c r="H166" t="s">
        <v>206</v>
      </c>
      <c r="I166" s="8" t="s">
        <v>152</v>
      </c>
      <c r="J166" t="s">
        <v>184</v>
      </c>
      <c r="K166" s="8" t="s">
        <v>41</v>
      </c>
      <c r="L166" t="s">
        <v>35</v>
      </c>
      <c r="O166">
        <v>0</v>
      </c>
      <c r="P166">
        <v>1</v>
      </c>
      <c r="Q166">
        <v>0</v>
      </c>
      <c r="R166">
        <v>0</v>
      </c>
      <c r="S166">
        <v>0</v>
      </c>
      <c r="T166">
        <v>0</v>
      </c>
      <c r="U166">
        <v>0</v>
      </c>
      <c r="V166">
        <v>0</v>
      </c>
      <c r="W166" s="8">
        <v>0</v>
      </c>
      <c r="X166">
        <v>0</v>
      </c>
      <c r="Y166">
        <v>0</v>
      </c>
      <c r="Z166" s="8"/>
      <c r="AA166" s="8" t="s">
        <v>95</v>
      </c>
      <c r="AB166" t="s">
        <v>21</v>
      </c>
    </row>
    <row r="167" spans="1:28">
      <c r="A167" s="8">
        <v>2003</v>
      </c>
      <c r="B167" s="8">
        <v>37</v>
      </c>
      <c r="C167" s="8"/>
      <c r="D167" s="8" t="s">
        <v>60</v>
      </c>
      <c r="E167" t="s">
        <v>208</v>
      </c>
      <c r="F167" t="s">
        <v>61</v>
      </c>
      <c r="G167" s="8" t="s">
        <v>204</v>
      </c>
      <c r="H167" t="s">
        <v>207</v>
      </c>
      <c r="I167" s="8" t="s">
        <v>152</v>
      </c>
      <c r="J167" t="s">
        <v>184</v>
      </c>
      <c r="K167" s="8" t="s">
        <v>41</v>
      </c>
      <c r="L167" t="s">
        <v>35</v>
      </c>
      <c r="O167">
        <v>0</v>
      </c>
      <c r="P167">
        <v>1</v>
      </c>
      <c r="Q167">
        <v>0</v>
      </c>
      <c r="R167">
        <v>0</v>
      </c>
      <c r="S167">
        <v>0</v>
      </c>
      <c r="T167">
        <v>0</v>
      </c>
      <c r="U167">
        <v>0</v>
      </c>
      <c r="V167">
        <v>0</v>
      </c>
      <c r="W167" s="8">
        <v>0</v>
      </c>
      <c r="X167">
        <v>0</v>
      </c>
      <c r="Y167">
        <v>0</v>
      </c>
      <c r="Z167" s="8"/>
      <c r="AA167" s="8" t="s">
        <v>95</v>
      </c>
      <c r="AB167" t="s">
        <v>21</v>
      </c>
    </row>
    <row r="168" spans="1:28">
      <c r="A168" s="8">
        <v>2003</v>
      </c>
      <c r="B168" s="8">
        <v>38</v>
      </c>
      <c r="C168" s="8"/>
      <c r="D168" s="8" t="s">
        <v>60</v>
      </c>
      <c r="F168" t="s">
        <v>61</v>
      </c>
      <c r="G168" s="8" t="s">
        <v>35</v>
      </c>
      <c r="I168" s="8" t="s">
        <v>152</v>
      </c>
      <c r="J168" t="s">
        <v>184</v>
      </c>
      <c r="K168" s="8" t="s">
        <v>41</v>
      </c>
      <c r="L168" t="s">
        <v>35</v>
      </c>
      <c r="O168">
        <v>0</v>
      </c>
      <c r="P168">
        <v>1</v>
      </c>
      <c r="Q168">
        <v>1</v>
      </c>
      <c r="R168">
        <v>0</v>
      </c>
      <c r="S168">
        <v>0</v>
      </c>
      <c r="T168">
        <v>0</v>
      </c>
      <c r="U168">
        <v>0</v>
      </c>
      <c r="V168">
        <v>0</v>
      </c>
      <c r="W168" s="8">
        <v>0</v>
      </c>
      <c r="X168">
        <v>0</v>
      </c>
      <c r="Y168">
        <v>0</v>
      </c>
      <c r="Z168" s="8"/>
      <c r="AA168" s="8" t="s">
        <v>96</v>
      </c>
      <c r="AB168" t="s">
        <v>21</v>
      </c>
    </row>
    <row r="169" spans="1:28">
      <c r="A169" s="8">
        <v>2003</v>
      </c>
      <c r="B169" s="8">
        <v>38</v>
      </c>
      <c r="C169" s="8"/>
      <c r="D169" s="8" t="s">
        <v>60</v>
      </c>
      <c r="F169" t="s">
        <v>61</v>
      </c>
      <c r="G169" s="8" t="s">
        <v>191</v>
      </c>
      <c r="H169" t="s">
        <v>194</v>
      </c>
      <c r="I169" s="8" t="s">
        <v>152</v>
      </c>
      <c r="J169" t="s">
        <v>184</v>
      </c>
      <c r="K169" s="8" t="s">
        <v>41</v>
      </c>
      <c r="L169" t="s">
        <v>35</v>
      </c>
      <c r="O169">
        <v>0</v>
      </c>
      <c r="P169">
        <v>1</v>
      </c>
      <c r="Q169">
        <v>0</v>
      </c>
      <c r="R169">
        <v>0</v>
      </c>
      <c r="S169">
        <v>0</v>
      </c>
      <c r="T169">
        <v>0</v>
      </c>
      <c r="U169">
        <v>0</v>
      </c>
      <c r="V169">
        <v>0</v>
      </c>
      <c r="W169" s="8">
        <v>0</v>
      </c>
      <c r="X169">
        <v>0</v>
      </c>
      <c r="Y169">
        <v>0</v>
      </c>
      <c r="Z169" s="8"/>
      <c r="AA169" s="8" t="s">
        <v>96</v>
      </c>
      <c r="AB169" t="s">
        <v>21</v>
      </c>
    </row>
    <row r="170" spans="1:28">
      <c r="A170" s="8">
        <v>2003</v>
      </c>
      <c r="B170" s="8">
        <v>38</v>
      </c>
      <c r="C170" s="8"/>
      <c r="D170" s="8" t="s">
        <v>60</v>
      </c>
      <c r="F170" t="s">
        <v>61</v>
      </c>
      <c r="G170" s="8" t="s">
        <v>22</v>
      </c>
      <c r="H170" t="s">
        <v>24</v>
      </c>
      <c r="I170" s="8" t="s">
        <v>152</v>
      </c>
      <c r="J170" t="s">
        <v>184</v>
      </c>
      <c r="K170" s="8" t="s">
        <v>41</v>
      </c>
      <c r="L170" t="s">
        <v>35</v>
      </c>
      <c r="O170">
        <v>0</v>
      </c>
      <c r="P170">
        <v>1</v>
      </c>
      <c r="Q170">
        <v>0</v>
      </c>
      <c r="R170">
        <v>0</v>
      </c>
      <c r="S170">
        <v>0</v>
      </c>
      <c r="T170">
        <v>0</v>
      </c>
      <c r="U170">
        <v>0</v>
      </c>
      <c r="V170">
        <v>0</v>
      </c>
      <c r="W170" s="8">
        <v>0</v>
      </c>
      <c r="X170">
        <v>0</v>
      </c>
      <c r="Y170">
        <v>0</v>
      </c>
      <c r="Z170" s="8"/>
      <c r="AA170" s="8" t="s">
        <v>96</v>
      </c>
      <c r="AB170" t="s">
        <v>21</v>
      </c>
    </row>
    <row r="171" spans="1:28">
      <c r="A171" s="8">
        <v>2003</v>
      </c>
      <c r="B171" s="8">
        <v>38</v>
      </c>
      <c r="C171" s="8"/>
      <c r="D171" s="8" t="s">
        <v>60</v>
      </c>
      <c r="F171" t="s">
        <v>61</v>
      </c>
      <c r="G171" s="8" t="s">
        <v>192</v>
      </c>
      <c r="H171" t="s">
        <v>195</v>
      </c>
      <c r="I171" s="8" t="s">
        <v>152</v>
      </c>
      <c r="J171" t="s">
        <v>184</v>
      </c>
      <c r="K171" s="8" t="s">
        <v>41</v>
      </c>
      <c r="L171" t="s">
        <v>35</v>
      </c>
      <c r="O171">
        <v>0</v>
      </c>
      <c r="P171">
        <v>1</v>
      </c>
      <c r="Q171">
        <v>0</v>
      </c>
      <c r="R171">
        <v>0</v>
      </c>
      <c r="S171">
        <v>0</v>
      </c>
      <c r="T171">
        <v>0</v>
      </c>
      <c r="U171">
        <v>0</v>
      </c>
      <c r="V171">
        <v>0</v>
      </c>
      <c r="W171" s="8">
        <v>0</v>
      </c>
      <c r="X171">
        <v>0</v>
      </c>
      <c r="Y171">
        <v>0</v>
      </c>
      <c r="Z171" s="8"/>
      <c r="AA171" s="8" t="s">
        <v>96</v>
      </c>
      <c r="AB171" t="s">
        <v>21</v>
      </c>
    </row>
    <row r="172" spans="1:28">
      <c r="A172" s="8">
        <v>2003</v>
      </c>
      <c r="B172" s="8">
        <v>38</v>
      </c>
      <c r="C172" s="8"/>
      <c r="D172" s="8" t="s">
        <v>60</v>
      </c>
      <c r="F172" t="s">
        <v>61</v>
      </c>
      <c r="G172" s="8" t="s">
        <v>152</v>
      </c>
      <c r="H172" t="s">
        <v>184</v>
      </c>
      <c r="I172" s="8" t="s">
        <v>152</v>
      </c>
      <c r="J172" t="s">
        <v>184</v>
      </c>
      <c r="K172" s="8" t="s">
        <v>41</v>
      </c>
      <c r="L172" t="s">
        <v>35</v>
      </c>
      <c r="O172">
        <v>0</v>
      </c>
      <c r="P172">
        <v>1</v>
      </c>
      <c r="Q172">
        <v>1</v>
      </c>
      <c r="R172">
        <v>0</v>
      </c>
      <c r="S172">
        <v>0</v>
      </c>
      <c r="T172">
        <v>0</v>
      </c>
      <c r="U172">
        <v>0</v>
      </c>
      <c r="V172">
        <v>0</v>
      </c>
      <c r="W172" s="8">
        <v>0</v>
      </c>
      <c r="X172">
        <v>0</v>
      </c>
      <c r="Y172">
        <v>0</v>
      </c>
      <c r="Z172" s="8"/>
      <c r="AA172" s="8" t="s">
        <v>96</v>
      </c>
      <c r="AB172" t="s">
        <v>21</v>
      </c>
    </row>
    <row r="173" spans="1:28">
      <c r="A173" s="8">
        <v>2003</v>
      </c>
      <c r="B173" s="8">
        <v>38</v>
      </c>
      <c r="C173" s="8"/>
      <c r="D173" s="8" t="s">
        <v>60</v>
      </c>
      <c r="F173" t="s">
        <v>61</v>
      </c>
      <c r="G173" s="8" t="s">
        <v>202</v>
      </c>
      <c r="H173" t="s">
        <v>205</v>
      </c>
      <c r="I173" s="8" t="s">
        <v>152</v>
      </c>
      <c r="J173" t="s">
        <v>184</v>
      </c>
      <c r="K173" s="8" t="s">
        <v>41</v>
      </c>
      <c r="L173" t="s">
        <v>35</v>
      </c>
      <c r="O173">
        <v>0</v>
      </c>
      <c r="P173">
        <v>1</v>
      </c>
      <c r="Q173">
        <v>0</v>
      </c>
      <c r="R173">
        <v>0</v>
      </c>
      <c r="S173">
        <v>0</v>
      </c>
      <c r="T173">
        <v>0</v>
      </c>
      <c r="U173">
        <v>0</v>
      </c>
      <c r="V173">
        <v>0</v>
      </c>
      <c r="W173" s="8">
        <v>0</v>
      </c>
      <c r="X173">
        <v>0</v>
      </c>
      <c r="Y173">
        <v>0</v>
      </c>
      <c r="Z173" s="8"/>
      <c r="AA173" s="8" t="s">
        <v>96</v>
      </c>
      <c r="AB173" t="s">
        <v>21</v>
      </c>
    </row>
    <row r="174" spans="1:28">
      <c r="A174" s="8">
        <v>2003</v>
      </c>
      <c r="B174" s="8">
        <v>38</v>
      </c>
      <c r="C174" s="8"/>
      <c r="D174" s="8" t="s">
        <v>60</v>
      </c>
      <c r="F174" t="s">
        <v>61</v>
      </c>
      <c r="G174" s="8" t="s">
        <v>193</v>
      </c>
      <c r="H174" t="s">
        <v>185</v>
      </c>
      <c r="I174" s="8" t="s">
        <v>152</v>
      </c>
      <c r="J174" t="s">
        <v>184</v>
      </c>
      <c r="K174" s="8" t="s">
        <v>41</v>
      </c>
      <c r="L174" t="s">
        <v>35</v>
      </c>
      <c r="O174">
        <v>0</v>
      </c>
      <c r="P174">
        <v>1</v>
      </c>
      <c r="Q174">
        <v>0</v>
      </c>
      <c r="R174">
        <v>0</v>
      </c>
      <c r="S174">
        <v>0</v>
      </c>
      <c r="T174">
        <v>0</v>
      </c>
      <c r="U174">
        <v>0</v>
      </c>
      <c r="V174">
        <v>0</v>
      </c>
      <c r="W174" s="8">
        <v>0</v>
      </c>
      <c r="X174">
        <v>0</v>
      </c>
      <c r="Y174">
        <v>0</v>
      </c>
      <c r="Z174" s="8"/>
      <c r="AA174" s="8" t="s">
        <v>96</v>
      </c>
      <c r="AB174" t="s">
        <v>21</v>
      </c>
    </row>
    <row r="175" spans="1:28">
      <c r="A175" s="8">
        <v>2003</v>
      </c>
      <c r="B175" s="8">
        <v>38</v>
      </c>
      <c r="C175" s="8"/>
      <c r="D175" s="8" t="s">
        <v>60</v>
      </c>
      <c r="F175" t="s">
        <v>61</v>
      </c>
      <c r="G175" s="8" t="s">
        <v>203</v>
      </c>
      <c r="H175" t="s">
        <v>206</v>
      </c>
      <c r="I175" s="8" t="s">
        <v>152</v>
      </c>
      <c r="J175" t="s">
        <v>184</v>
      </c>
      <c r="K175" s="8" t="s">
        <v>41</v>
      </c>
      <c r="L175" t="s">
        <v>35</v>
      </c>
      <c r="O175">
        <v>0</v>
      </c>
      <c r="P175">
        <v>1</v>
      </c>
      <c r="Q175">
        <v>0</v>
      </c>
      <c r="R175">
        <v>0</v>
      </c>
      <c r="S175">
        <v>0</v>
      </c>
      <c r="T175">
        <v>0</v>
      </c>
      <c r="U175">
        <v>0</v>
      </c>
      <c r="V175">
        <v>0</v>
      </c>
      <c r="W175" s="8">
        <v>0</v>
      </c>
      <c r="X175">
        <v>0</v>
      </c>
      <c r="Y175">
        <v>0</v>
      </c>
      <c r="Z175" s="8"/>
      <c r="AA175" s="8" t="s">
        <v>96</v>
      </c>
      <c r="AB175" t="s">
        <v>21</v>
      </c>
    </row>
    <row r="176" spans="1:28">
      <c r="A176" s="8">
        <v>2003</v>
      </c>
      <c r="B176" s="8">
        <v>38</v>
      </c>
      <c r="C176" s="8"/>
      <c r="D176" s="8" t="s">
        <v>60</v>
      </c>
      <c r="F176" t="s">
        <v>61</v>
      </c>
      <c r="G176" s="8" t="s">
        <v>204</v>
      </c>
      <c r="H176" t="s">
        <v>207</v>
      </c>
      <c r="I176" s="8" t="s">
        <v>152</v>
      </c>
      <c r="J176" t="s">
        <v>184</v>
      </c>
      <c r="K176" s="8" t="s">
        <v>41</v>
      </c>
      <c r="L176" t="s">
        <v>35</v>
      </c>
      <c r="O176">
        <v>0</v>
      </c>
      <c r="P176">
        <v>1</v>
      </c>
      <c r="Q176">
        <v>0</v>
      </c>
      <c r="R176">
        <v>0</v>
      </c>
      <c r="S176">
        <v>0</v>
      </c>
      <c r="T176">
        <v>0</v>
      </c>
      <c r="U176">
        <v>0</v>
      </c>
      <c r="V176">
        <v>0</v>
      </c>
      <c r="W176" s="8">
        <v>0</v>
      </c>
      <c r="X176">
        <v>0</v>
      </c>
      <c r="Y176">
        <v>0</v>
      </c>
      <c r="Z176" s="8"/>
      <c r="AA176" s="8" t="s">
        <v>96</v>
      </c>
      <c r="AB176" t="s">
        <v>21</v>
      </c>
    </row>
    <row r="177" spans="1:30">
      <c r="A177" s="8">
        <v>2003</v>
      </c>
      <c r="B177" s="8">
        <v>39</v>
      </c>
      <c r="C177" s="8"/>
      <c r="D177" s="8" t="s">
        <v>60</v>
      </c>
      <c r="F177" t="s">
        <v>61</v>
      </c>
      <c r="G177" s="8" t="s">
        <v>35</v>
      </c>
      <c r="I177" s="8"/>
      <c r="K177" s="8" t="s">
        <v>41</v>
      </c>
      <c r="L177" t="s">
        <v>35</v>
      </c>
      <c r="O177">
        <v>0</v>
      </c>
      <c r="P177">
        <v>1</v>
      </c>
      <c r="Q177">
        <v>1</v>
      </c>
      <c r="R177">
        <v>0</v>
      </c>
      <c r="S177">
        <v>0</v>
      </c>
      <c r="T177">
        <v>0</v>
      </c>
      <c r="U177">
        <v>0</v>
      </c>
      <c r="V177">
        <v>0</v>
      </c>
      <c r="W177" s="8">
        <v>0</v>
      </c>
      <c r="X177">
        <v>0</v>
      </c>
      <c r="Y177">
        <v>0</v>
      </c>
      <c r="Z177" s="8"/>
      <c r="AA177" s="8" t="s">
        <v>97</v>
      </c>
      <c r="AB177" t="s">
        <v>21</v>
      </c>
    </row>
    <row r="178" spans="1:30">
      <c r="A178" s="8">
        <v>2003</v>
      </c>
      <c r="B178" s="8">
        <v>39</v>
      </c>
      <c r="C178" s="8"/>
      <c r="D178" s="8" t="s">
        <v>60</v>
      </c>
      <c r="F178" t="s">
        <v>61</v>
      </c>
      <c r="G178" s="8" t="s">
        <v>191</v>
      </c>
      <c r="H178" t="s">
        <v>194</v>
      </c>
      <c r="I178" s="8"/>
      <c r="K178" s="8" t="s">
        <v>41</v>
      </c>
      <c r="L178" t="s">
        <v>35</v>
      </c>
      <c r="O178">
        <v>0</v>
      </c>
      <c r="P178">
        <v>1</v>
      </c>
      <c r="Q178">
        <v>0</v>
      </c>
      <c r="R178">
        <v>0</v>
      </c>
      <c r="S178">
        <v>0</v>
      </c>
      <c r="T178">
        <v>0</v>
      </c>
      <c r="U178">
        <v>0</v>
      </c>
      <c r="V178">
        <v>0</v>
      </c>
      <c r="W178" s="8">
        <v>0</v>
      </c>
      <c r="X178">
        <v>0</v>
      </c>
      <c r="Y178">
        <v>0</v>
      </c>
      <c r="Z178" s="8"/>
      <c r="AA178" s="8" t="s">
        <v>97</v>
      </c>
      <c r="AB178" t="s">
        <v>21</v>
      </c>
    </row>
    <row r="179" spans="1:30">
      <c r="A179" s="8">
        <v>2003</v>
      </c>
      <c r="B179" s="8">
        <v>39</v>
      </c>
      <c r="C179" s="8"/>
      <c r="D179" s="8" t="s">
        <v>60</v>
      </c>
      <c r="F179" t="s">
        <v>61</v>
      </c>
      <c r="G179" s="8" t="s">
        <v>22</v>
      </c>
      <c r="H179" t="s">
        <v>24</v>
      </c>
      <c r="I179" s="8"/>
      <c r="K179" s="8" t="s">
        <v>41</v>
      </c>
      <c r="L179" t="s">
        <v>35</v>
      </c>
      <c r="O179">
        <v>0</v>
      </c>
      <c r="P179">
        <v>1</v>
      </c>
      <c r="Q179">
        <v>0</v>
      </c>
      <c r="R179">
        <v>0</v>
      </c>
      <c r="S179">
        <v>0</v>
      </c>
      <c r="T179">
        <v>0</v>
      </c>
      <c r="U179">
        <v>0</v>
      </c>
      <c r="V179">
        <v>0</v>
      </c>
      <c r="W179" s="8">
        <v>0</v>
      </c>
      <c r="X179">
        <v>0</v>
      </c>
      <c r="Y179">
        <v>0</v>
      </c>
      <c r="Z179" s="8"/>
      <c r="AA179" s="8" t="s">
        <v>97</v>
      </c>
      <c r="AB179" t="s">
        <v>21</v>
      </c>
    </row>
    <row r="180" spans="1:30">
      <c r="A180" s="8">
        <v>2003</v>
      </c>
      <c r="B180" s="8">
        <v>39</v>
      </c>
      <c r="C180" s="8"/>
      <c r="D180" s="8" t="s">
        <v>60</v>
      </c>
      <c r="F180" t="s">
        <v>61</v>
      </c>
      <c r="G180" s="8" t="s">
        <v>192</v>
      </c>
      <c r="H180" t="s">
        <v>195</v>
      </c>
      <c r="I180" s="8"/>
      <c r="K180" s="8" t="s">
        <v>41</v>
      </c>
      <c r="L180" t="s">
        <v>35</v>
      </c>
      <c r="O180">
        <v>0</v>
      </c>
      <c r="P180">
        <v>1</v>
      </c>
      <c r="Q180">
        <v>0</v>
      </c>
      <c r="R180">
        <v>0</v>
      </c>
      <c r="S180">
        <v>0</v>
      </c>
      <c r="T180">
        <v>0</v>
      </c>
      <c r="U180">
        <v>0</v>
      </c>
      <c r="V180">
        <v>0</v>
      </c>
      <c r="W180" s="8">
        <v>0</v>
      </c>
      <c r="X180">
        <v>0</v>
      </c>
      <c r="Y180">
        <v>0</v>
      </c>
      <c r="Z180" s="8"/>
      <c r="AA180" s="8" t="s">
        <v>97</v>
      </c>
      <c r="AB180" t="s">
        <v>21</v>
      </c>
    </row>
    <row r="181" spans="1:30">
      <c r="A181" s="8">
        <v>2003</v>
      </c>
      <c r="B181" s="8">
        <v>39</v>
      </c>
      <c r="C181" s="8"/>
      <c r="D181" s="8" t="s">
        <v>60</v>
      </c>
      <c r="F181" t="s">
        <v>61</v>
      </c>
      <c r="G181" s="8" t="s">
        <v>152</v>
      </c>
      <c r="H181" t="s">
        <v>184</v>
      </c>
      <c r="I181" s="8"/>
      <c r="K181" s="8" t="s">
        <v>41</v>
      </c>
      <c r="L181" t="s">
        <v>35</v>
      </c>
      <c r="O181">
        <v>0</v>
      </c>
      <c r="P181">
        <v>1</v>
      </c>
      <c r="Q181">
        <v>0</v>
      </c>
      <c r="R181">
        <v>0</v>
      </c>
      <c r="S181">
        <v>0</v>
      </c>
      <c r="T181">
        <v>0</v>
      </c>
      <c r="U181">
        <v>0</v>
      </c>
      <c r="V181">
        <v>0</v>
      </c>
      <c r="W181" s="8">
        <v>0</v>
      </c>
      <c r="X181">
        <v>0</v>
      </c>
      <c r="Y181">
        <v>0</v>
      </c>
      <c r="Z181" s="8"/>
      <c r="AA181" s="8" t="s">
        <v>97</v>
      </c>
      <c r="AB181" t="s">
        <v>21</v>
      </c>
    </row>
    <row r="182" spans="1:30">
      <c r="A182" s="8">
        <v>2003</v>
      </c>
      <c r="B182" s="8">
        <v>39</v>
      </c>
      <c r="C182" s="8"/>
      <c r="D182" s="8" t="s">
        <v>60</v>
      </c>
      <c r="F182" t="s">
        <v>61</v>
      </c>
      <c r="G182" s="8" t="s">
        <v>202</v>
      </c>
      <c r="H182" t="s">
        <v>205</v>
      </c>
      <c r="I182" s="8"/>
      <c r="K182" s="8" t="s">
        <v>41</v>
      </c>
      <c r="L182" t="s">
        <v>35</v>
      </c>
      <c r="O182">
        <v>0</v>
      </c>
      <c r="P182">
        <v>1</v>
      </c>
      <c r="Q182">
        <v>0</v>
      </c>
      <c r="R182">
        <v>0</v>
      </c>
      <c r="S182">
        <v>0</v>
      </c>
      <c r="T182">
        <v>0</v>
      </c>
      <c r="U182">
        <v>0</v>
      </c>
      <c r="V182">
        <v>0</v>
      </c>
      <c r="W182" s="8">
        <v>0</v>
      </c>
      <c r="X182">
        <v>0</v>
      </c>
      <c r="Y182">
        <v>0</v>
      </c>
      <c r="Z182" s="8"/>
      <c r="AA182" s="8" t="s">
        <v>97</v>
      </c>
      <c r="AB182" t="s">
        <v>21</v>
      </c>
    </row>
    <row r="183" spans="1:30">
      <c r="A183" s="8">
        <v>2003</v>
      </c>
      <c r="B183" s="8">
        <v>39</v>
      </c>
      <c r="C183" s="8"/>
      <c r="D183" s="8" t="s">
        <v>60</v>
      </c>
      <c r="F183" t="s">
        <v>61</v>
      </c>
      <c r="G183" s="8" t="s">
        <v>193</v>
      </c>
      <c r="H183" t="s">
        <v>185</v>
      </c>
      <c r="I183" s="8"/>
      <c r="K183" s="8" t="s">
        <v>41</v>
      </c>
      <c r="L183" t="s">
        <v>35</v>
      </c>
      <c r="O183">
        <v>0</v>
      </c>
      <c r="P183">
        <v>1</v>
      </c>
      <c r="Q183">
        <v>0</v>
      </c>
      <c r="R183">
        <v>0</v>
      </c>
      <c r="S183">
        <v>0</v>
      </c>
      <c r="T183">
        <v>0</v>
      </c>
      <c r="U183">
        <v>0</v>
      </c>
      <c r="V183">
        <v>0</v>
      </c>
      <c r="W183" s="8">
        <v>0</v>
      </c>
      <c r="X183">
        <v>0</v>
      </c>
      <c r="Y183">
        <v>0</v>
      </c>
      <c r="Z183" s="8"/>
      <c r="AA183" s="8" t="s">
        <v>97</v>
      </c>
      <c r="AB183" t="s">
        <v>21</v>
      </c>
    </row>
    <row r="184" spans="1:30">
      <c r="A184" s="8">
        <v>2003</v>
      </c>
      <c r="B184" s="8">
        <v>39</v>
      </c>
      <c r="C184" s="8"/>
      <c r="D184" s="8" t="s">
        <v>60</v>
      </c>
      <c r="F184" t="s">
        <v>61</v>
      </c>
      <c r="G184" s="8" t="s">
        <v>203</v>
      </c>
      <c r="H184" t="s">
        <v>206</v>
      </c>
      <c r="I184" s="8"/>
      <c r="K184" s="8" t="s">
        <v>41</v>
      </c>
      <c r="L184" t="s">
        <v>35</v>
      </c>
      <c r="O184">
        <v>0</v>
      </c>
      <c r="P184">
        <v>1</v>
      </c>
      <c r="Q184">
        <v>0</v>
      </c>
      <c r="R184">
        <v>0</v>
      </c>
      <c r="S184">
        <v>0</v>
      </c>
      <c r="T184">
        <v>0</v>
      </c>
      <c r="U184">
        <v>0</v>
      </c>
      <c r="V184">
        <v>0</v>
      </c>
      <c r="W184" s="8">
        <v>0</v>
      </c>
      <c r="X184">
        <v>0</v>
      </c>
      <c r="Y184">
        <v>0</v>
      </c>
      <c r="Z184" s="8"/>
      <c r="AA184" s="8" t="s">
        <v>97</v>
      </c>
      <c r="AB184" t="s">
        <v>21</v>
      </c>
    </row>
    <row r="185" spans="1:30">
      <c r="A185" s="8">
        <v>2003</v>
      </c>
      <c r="B185" s="8">
        <v>39</v>
      </c>
      <c r="C185" s="8"/>
      <c r="D185" s="8" t="s">
        <v>60</v>
      </c>
      <c r="F185" t="s">
        <v>61</v>
      </c>
      <c r="G185" s="8" t="s">
        <v>204</v>
      </c>
      <c r="H185" t="s">
        <v>207</v>
      </c>
      <c r="I185" s="8"/>
      <c r="K185" s="8" t="s">
        <v>41</v>
      </c>
      <c r="L185" t="s">
        <v>35</v>
      </c>
      <c r="O185">
        <v>0</v>
      </c>
      <c r="P185">
        <v>1</v>
      </c>
      <c r="Q185">
        <v>0</v>
      </c>
      <c r="R185">
        <v>0</v>
      </c>
      <c r="S185">
        <v>0</v>
      </c>
      <c r="T185">
        <v>0</v>
      </c>
      <c r="U185">
        <v>0</v>
      </c>
      <c r="V185">
        <v>0</v>
      </c>
      <c r="W185" s="8">
        <v>0</v>
      </c>
      <c r="X185">
        <v>0</v>
      </c>
      <c r="Y185">
        <v>0</v>
      </c>
      <c r="Z185" s="8"/>
      <c r="AA185" s="8" t="s">
        <v>97</v>
      </c>
      <c r="AB185" t="s">
        <v>21</v>
      </c>
    </row>
    <row r="186" spans="1:30">
      <c r="A186" s="8">
        <v>2003</v>
      </c>
      <c r="B186" s="8">
        <v>39</v>
      </c>
      <c r="C186" s="8"/>
      <c r="D186" s="8" t="s">
        <v>60</v>
      </c>
      <c r="F186" t="s">
        <v>61</v>
      </c>
      <c r="G186" s="8" t="s">
        <v>298</v>
      </c>
      <c r="I186" s="8"/>
      <c r="K186" s="8" t="s">
        <v>41</v>
      </c>
      <c r="L186" t="s">
        <v>35</v>
      </c>
      <c r="O186">
        <v>0</v>
      </c>
      <c r="P186">
        <v>0</v>
      </c>
      <c r="Q186">
        <v>0</v>
      </c>
      <c r="R186">
        <v>1</v>
      </c>
      <c r="S186">
        <v>0</v>
      </c>
      <c r="T186">
        <v>0</v>
      </c>
      <c r="U186">
        <v>0</v>
      </c>
      <c r="V186">
        <v>0</v>
      </c>
      <c r="W186" s="8">
        <v>0</v>
      </c>
      <c r="X186">
        <v>0</v>
      </c>
      <c r="Y186">
        <v>0</v>
      </c>
      <c r="Z186" s="8"/>
      <c r="AA186" s="8" t="s">
        <v>299</v>
      </c>
      <c r="AB186" t="s">
        <v>300</v>
      </c>
      <c r="AC186" t="s">
        <v>301</v>
      </c>
      <c r="AD186" t="s">
        <v>21</v>
      </c>
    </row>
    <row r="187" spans="1:30">
      <c r="A187" s="8">
        <v>2003</v>
      </c>
      <c r="B187" s="8">
        <v>40</v>
      </c>
      <c r="C187" s="8"/>
      <c r="D187" s="8" t="s">
        <v>60</v>
      </c>
      <c r="F187" t="s">
        <v>61</v>
      </c>
      <c r="G187" s="8" t="s">
        <v>35</v>
      </c>
      <c r="I187" s="8" t="s">
        <v>152</v>
      </c>
      <c r="J187" t="s">
        <v>184</v>
      </c>
      <c r="K187" s="8" t="s">
        <v>41</v>
      </c>
      <c r="L187" t="s">
        <v>35</v>
      </c>
      <c r="O187">
        <v>0</v>
      </c>
      <c r="P187">
        <v>1</v>
      </c>
      <c r="Q187">
        <v>1</v>
      </c>
      <c r="R187">
        <v>0</v>
      </c>
      <c r="S187">
        <v>0</v>
      </c>
      <c r="T187">
        <v>0</v>
      </c>
      <c r="U187">
        <v>0</v>
      </c>
      <c r="V187">
        <v>0</v>
      </c>
      <c r="W187" s="8">
        <v>0</v>
      </c>
      <c r="X187">
        <v>0</v>
      </c>
      <c r="Y187">
        <v>0</v>
      </c>
      <c r="Z187" s="8"/>
      <c r="AA187" s="8" t="s">
        <v>98</v>
      </c>
      <c r="AB187" t="s">
        <v>21</v>
      </c>
    </row>
    <row r="188" spans="1:30">
      <c r="A188" s="8">
        <v>2003</v>
      </c>
      <c r="B188" s="8">
        <v>40</v>
      </c>
      <c r="C188" s="8"/>
      <c r="D188" s="8" t="s">
        <v>60</v>
      </c>
      <c r="F188" t="s">
        <v>61</v>
      </c>
      <c r="G188" s="8" t="s">
        <v>191</v>
      </c>
      <c r="H188" t="s">
        <v>194</v>
      </c>
      <c r="I188" s="8" t="s">
        <v>152</v>
      </c>
      <c r="J188" t="s">
        <v>184</v>
      </c>
      <c r="K188" s="8" t="s">
        <v>41</v>
      </c>
      <c r="L188" t="s">
        <v>35</v>
      </c>
      <c r="O188">
        <v>0</v>
      </c>
      <c r="P188">
        <v>1</v>
      </c>
      <c r="Q188">
        <v>0</v>
      </c>
      <c r="R188">
        <v>0</v>
      </c>
      <c r="S188">
        <v>0</v>
      </c>
      <c r="T188">
        <v>0</v>
      </c>
      <c r="U188">
        <v>0</v>
      </c>
      <c r="V188">
        <v>0</v>
      </c>
      <c r="W188" s="8">
        <v>0</v>
      </c>
      <c r="X188">
        <v>0</v>
      </c>
      <c r="Y188">
        <v>0</v>
      </c>
      <c r="Z188" s="8"/>
      <c r="AA188" s="8" t="s">
        <v>98</v>
      </c>
      <c r="AB188" t="s">
        <v>21</v>
      </c>
    </row>
    <row r="189" spans="1:30">
      <c r="A189" s="8">
        <v>2003</v>
      </c>
      <c r="B189" s="8">
        <v>40</v>
      </c>
      <c r="C189" s="8"/>
      <c r="D189" s="8" t="s">
        <v>60</v>
      </c>
      <c r="F189" t="s">
        <v>61</v>
      </c>
      <c r="G189" s="8" t="s">
        <v>22</v>
      </c>
      <c r="H189" t="s">
        <v>24</v>
      </c>
      <c r="I189" s="8" t="s">
        <v>152</v>
      </c>
      <c r="J189" t="s">
        <v>184</v>
      </c>
      <c r="K189" s="8" t="s">
        <v>41</v>
      </c>
      <c r="L189" t="s">
        <v>35</v>
      </c>
      <c r="O189">
        <v>0</v>
      </c>
      <c r="P189">
        <v>1</v>
      </c>
      <c r="Q189">
        <v>0</v>
      </c>
      <c r="R189">
        <v>0</v>
      </c>
      <c r="S189">
        <v>0</v>
      </c>
      <c r="T189">
        <v>0</v>
      </c>
      <c r="U189">
        <v>0</v>
      </c>
      <c r="V189">
        <v>0</v>
      </c>
      <c r="W189" s="8">
        <v>0</v>
      </c>
      <c r="X189">
        <v>0</v>
      </c>
      <c r="Y189">
        <v>0</v>
      </c>
      <c r="Z189" s="8"/>
      <c r="AA189" s="8" t="s">
        <v>98</v>
      </c>
      <c r="AB189" t="s">
        <v>21</v>
      </c>
    </row>
    <row r="190" spans="1:30">
      <c r="A190" s="8">
        <v>2003</v>
      </c>
      <c r="B190" s="8">
        <v>40</v>
      </c>
      <c r="C190" s="8"/>
      <c r="D190" s="8" t="s">
        <v>60</v>
      </c>
      <c r="F190" t="s">
        <v>61</v>
      </c>
      <c r="G190" s="8" t="s">
        <v>192</v>
      </c>
      <c r="H190" t="s">
        <v>195</v>
      </c>
      <c r="I190" s="8" t="s">
        <v>152</v>
      </c>
      <c r="J190" t="s">
        <v>184</v>
      </c>
      <c r="K190" s="8" t="s">
        <v>41</v>
      </c>
      <c r="L190" t="s">
        <v>35</v>
      </c>
      <c r="O190">
        <v>0</v>
      </c>
      <c r="P190">
        <v>1</v>
      </c>
      <c r="Q190">
        <v>0</v>
      </c>
      <c r="R190">
        <v>0</v>
      </c>
      <c r="S190">
        <v>0</v>
      </c>
      <c r="T190">
        <v>0</v>
      </c>
      <c r="U190">
        <v>0</v>
      </c>
      <c r="V190">
        <v>0</v>
      </c>
      <c r="W190" s="8">
        <v>0</v>
      </c>
      <c r="X190">
        <v>0</v>
      </c>
      <c r="Y190">
        <v>0</v>
      </c>
      <c r="Z190" s="8"/>
      <c r="AA190" s="8" t="s">
        <v>98</v>
      </c>
      <c r="AB190" t="s">
        <v>21</v>
      </c>
    </row>
    <row r="191" spans="1:30">
      <c r="A191" s="8">
        <v>2003</v>
      </c>
      <c r="B191" s="8">
        <v>40</v>
      </c>
      <c r="C191" s="8"/>
      <c r="D191" s="8" t="s">
        <v>60</v>
      </c>
      <c r="F191" t="s">
        <v>61</v>
      </c>
      <c r="G191" s="8" t="s">
        <v>152</v>
      </c>
      <c r="H191" t="s">
        <v>184</v>
      </c>
      <c r="I191" s="8" t="s">
        <v>152</v>
      </c>
      <c r="J191" t="s">
        <v>184</v>
      </c>
      <c r="K191" s="8" t="s">
        <v>41</v>
      </c>
      <c r="L191" t="s">
        <v>35</v>
      </c>
      <c r="O191">
        <v>0</v>
      </c>
      <c r="P191">
        <v>1</v>
      </c>
      <c r="Q191">
        <v>1</v>
      </c>
      <c r="R191">
        <v>0</v>
      </c>
      <c r="S191">
        <v>0</v>
      </c>
      <c r="T191">
        <v>0</v>
      </c>
      <c r="U191">
        <v>0</v>
      </c>
      <c r="V191">
        <v>0</v>
      </c>
      <c r="W191" s="8">
        <v>0</v>
      </c>
      <c r="X191">
        <v>0</v>
      </c>
      <c r="Y191">
        <v>0</v>
      </c>
      <c r="Z191" s="8"/>
      <c r="AA191" s="8" t="s">
        <v>98</v>
      </c>
      <c r="AB191" t="s">
        <v>21</v>
      </c>
    </row>
    <row r="192" spans="1:30">
      <c r="A192" s="8">
        <v>2003</v>
      </c>
      <c r="B192" s="8">
        <v>40</v>
      </c>
      <c r="C192" s="8"/>
      <c r="D192" s="8" t="s">
        <v>60</v>
      </c>
      <c r="F192" t="s">
        <v>61</v>
      </c>
      <c r="G192" s="8" t="s">
        <v>202</v>
      </c>
      <c r="H192" t="s">
        <v>205</v>
      </c>
      <c r="I192" s="8" t="s">
        <v>152</v>
      </c>
      <c r="J192" t="s">
        <v>184</v>
      </c>
      <c r="K192" s="8" t="s">
        <v>41</v>
      </c>
      <c r="L192" t="s">
        <v>35</v>
      </c>
      <c r="O192">
        <v>0</v>
      </c>
      <c r="P192">
        <v>1</v>
      </c>
      <c r="Q192">
        <v>0</v>
      </c>
      <c r="R192">
        <v>0</v>
      </c>
      <c r="S192">
        <v>0</v>
      </c>
      <c r="T192">
        <v>0</v>
      </c>
      <c r="U192">
        <v>0</v>
      </c>
      <c r="V192">
        <v>0</v>
      </c>
      <c r="W192" s="8">
        <v>0</v>
      </c>
      <c r="X192">
        <v>0</v>
      </c>
      <c r="Y192">
        <v>0</v>
      </c>
      <c r="Z192" s="8"/>
      <c r="AA192" s="8" t="s">
        <v>98</v>
      </c>
      <c r="AB192" t="s">
        <v>21</v>
      </c>
    </row>
    <row r="193" spans="1:28">
      <c r="A193" s="8">
        <v>2003</v>
      </c>
      <c r="B193" s="8">
        <v>40</v>
      </c>
      <c r="C193" s="8"/>
      <c r="D193" s="8" t="s">
        <v>60</v>
      </c>
      <c r="F193" t="s">
        <v>61</v>
      </c>
      <c r="G193" s="8" t="s">
        <v>193</v>
      </c>
      <c r="H193" t="s">
        <v>185</v>
      </c>
      <c r="I193" s="8" t="s">
        <v>152</v>
      </c>
      <c r="J193" t="s">
        <v>184</v>
      </c>
      <c r="K193" s="8" t="s">
        <v>41</v>
      </c>
      <c r="L193" t="s">
        <v>35</v>
      </c>
      <c r="O193">
        <v>0</v>
      </c>
      <c r="P193">
        <v>1</v>
      </c>
      <c r="Q193">
        <v>0</v>
      </c>
      <c r="R193">
        <v>0</v>
      </c>
      <c r="S193">
        <v>0</v>
      </c>
      <c r="T193">
        <v>0</v>
      </c>
      <c r="U193">
        <v>0</v>
      </c>
      <c r="V193">
        <v>0</v>
      </c>
      <c r="W193" s="8">
        <v>0</v>
      </c>
      <c r="X193">
        <v>0</v>
      </c>
      <c r="Y193">
        <v>0</v>
      </c>
      <c r="Z193" s="8"/>
      <c r="AA193" s="8" t="s">
        <v>98</v>
      </c>
      <c r="AB193" t="s">
        <v>21</v>
      </c>
    </row>
    <row r="194" spans="1:28">
      <c r="A194" s="8">
        <v>2003</v>
      </c>
      <c r="B194" s="8">
        <v>40</v>
      </c>
      <c r="C194" s="8"/>
      <c r="D194" s="8" t="s">
        <v>60</v>
      </c>
      <c r="F194" t="s">
        <v>61</v>
      </c>
      <c r="G194" s="8" t="s">
        <v>203</v>
      </c>
      <c r="H194" t="s">
        <v>206</v>
      </c>
      <c r="I194" s="8" t="s">
        <v>152</v>
      </c>
      <c r="J194" t="s">
        <v>184</v>
      </c>
      <c r="K194" s="8" t="s">
        <v>41</v>
      </c>
      <c r="L194" t="s">
        <v>35</v>
      </c>
      <c r="O194">
        <v>0</v>
      </c>
      <c r="P194">
        <v>1</v>
      </c>
      <c r="Q194">
        <v>0</v>
      </c>
      <c r="R194">
        <v>0</v>
      </c>
      <c r="S194">
        <v>0</v>
      </c>
      <c r="T194">
        <v>0</v>
      </c>
      <c r="U194">
        <v>0</v>
      </c>
      <c r="V194">
        <v>0</v>
      </c>
      <c r="W194" s="8">
        <v>0</v>
      </c>
      <c r="X194">
        <v>0</v>
      </c>
      <c r="Y194">
        <v>0</v>
      </c>
      <c r="Z194" s="8"/>
      <c r="AA194" s="8" t="s">
        <v>98</v>
      </c>
      <c r="AB194" t="s">
        <v>21</v>
      </c>
    </row>
    <row r="195" spans="1:28">
      <c r="A195" s="8">
        <v>2003</v>
      </c>
      <c r="B195" s="8">
        <v>40</v>
      </c>
      <c r="C195" s="8"/>
      <c r="D195" s="8" t="s">
        <v>60</v>
      </c>
      <c r="F195" t="s">
        <v>61</v>
      </c>
      <c r="G195" s="8" t="s">
        <v>204</v>
      </c>
      <c r="H195" t="s">
        <v>207</v>
      </c>
      <c r="I195" s="8" t="s">
        <v>152</v>
      </c>
      <c r="J195" t="s">
        <v>184</v>
      </c>
      <c r="K195" s="8" t="s">
        <v>41</v>
      </c>
      <c r="L195" t="s">
        <v>35</v>
      </c>
      <c r="O195">
        <v>0</v>
      </c>
      <c r="P195">
        <v>1</v>
      </c>
      <c r="Q195">
        <v>0</v>
      </c>
      <c r="R195">
        <v>0</v>
      </c>
      <c r="S195">
        <v>0</v>
      </c>
      <c r="T195">
        <v>0</v>
      </c>
      <c r="U195">
        <v>0</v>
      </c>
      <c r="V195">
        <v>0</v>
      </c>
      <c r="W195" s="8">
        <v>0</v>
      </c>
      <c r="X195">
        <v>0</v>
      </c>
      <c r="Y195">
        <v>0</v>
      </c>
      <c r="Z195" s="8"/>
      <c r="AA195" s="8" t="s">
        <v>98</v>
      </c>
      <c r="AB195" t="s">
        <v>21</v>
      </c>
    </row>
    <row r="196" spans="1:28">
      <c r="A196" s="8">
        <v>2003</v>
      </c>
      <c r="B196" s="8">
        <v>41</v>
      </c>
      <c r="C196" s="8"/>
      <c r="D196" s="8" t="s">
        <v>60</v>
      </c>
      <c r="F196" t="s">
        <v>61</v>
      </c>
      <c r="G196" s="8" t="s">
        <v>35</v>
      </c>
      <c r="I196" s="8" t="s">
        <v>152</v>
      </c>
      <c r="J196" t="s">
        <v>184</v>
      </c>
      <c r="K196" s="8" t="s">
        <v>41</v>
      </c>
      <c r="L196" t="s">
        <v>35</v>
      </c>
      <c r="O196">
        <v>0</v>
      </c>
      <c r="P196">
        <v>1</v>
      </c>
      <c r="Q196">
        <v>1</v>
      </c>
      <c r="R196">
        <v>0</v>
      </c>
      <c r="S196">
        <v>0</v>
      </c>
      <c r="T196">
        <v>0</v>
      </c>
      <c r="U196">
        <v>0</v>
      </c>
      <c r="V196">
        <v>0</v>
      </c>
      <c r="W196" s="8">
        <v>1</v>
      </c>
      <c r="X196">
        <v>0</v>
      </c>
      <c r="Y196">
        <v>1</v>
      </c>
      <c r="Z196" s="8" t="s">
        <v>164</v>
      </c>
      <c r="AA196" s="8" t="s">
        <v>99</v>
      </c>
      <c r="AB196" t="s">
        <v>21</v>
      </c>
    </row>
    <row r="197" spans="1:28">
      <c r="A197" s="8">
        <v>2003</v>
      </c>
      <c r="B197" s="8">
        <v>41</v>
      </c>
      <c r="C197" s="8"/>
      <c r="D197" s="8" t="s">
        <v>60</v>
      </c>
      <c r="F197" t="s">
        <v>61</v>
      </c>
      <c r="G197" s="8" t="s">
        <v>191</v>
      </c>
      <c r="H197" t="s">
        <v>194</v>
      </c>
      <c r="I197" s="8" t="s">
        <v>152</v>
      </c>
      <c r="J197" t="s">
        <v>184</v>
      </c>
      <c r="K197" s="8" t="s">
        <v>41</v>
      </c>
      <c r="L197" t="s">
        <v>35</v>
      </c>
      <c r="O197">
        <v>0</v>
      </c>
      <c r="P197">
        <v>1</v>
      </c>
      <c r="Q197">
        <v>0</v>
      </c>
      <c r="R197">
        <v>0</v>
      </c>
      <c r="S197">
        <v>0</v>
      </c>
      <c r="T197">
        <v>0</v>
      </c>
      <c r="U197">
        <v>0</v>
      </c>
      <c r="V197">
        <v>0</v>
      </c>
      <c r="W197" s="8">
        <v>1</v>
      </c>
      <c r="X197">
        <v>0</v>
      </c>
      <c r="Y197">
        <v>1</v>
      </c>
      <c r="Z197" s="8" t="s">
        <v>164</v>
      </c>
      <c r="AA197" s="8" t="s">
        <v>99</v>
      </c>
      <c r="AB197" t="s">
        <v>21</v>
      </c>
    </row>
    <row r="198" spans="1:28">
      <c r="A198" s="8">
        <v>2003</v>
      </c>
      <c r="B198" s="8">
        <v>41</v>
      </c>
      <c r="C198" s="8"/>
      <c r="D198" s="8" t="s">
        <v>60</v>
      </c>
      <c r="F198" t="s">
        <v>61</v>
      </c>
      <c r="G198" s="8" t="s">
        <v>22</v>
      </c>
      <c r="H198" t="s">
        <v>24</v>
      </c>
      <c r="I198" s="8" t="s">
        <v>152</v>
      </c>
      <c r="J198" t="s">
        <v>184</v>
      </c>
      <c r="K198" s="8" t="s">
        <v>41</v>
      </c>
      <c r="L198" t="s">
        <v>35</v>
      </c>
      <c r="O198">
        <v>0</v>
      </c>
      <c r="P198">
        <v>1</v>
      </c>
      <c r="Q198">
        <v>0</v>
      </c>
      <c r="R198">
        <v>0</v>
      </c>
      <c r="S198">
        <v>0</v>
      </c>
      <c r="T198">
        <v>0</v>
      </c>
      <c r="U198">
        <v>0</v>
      </c>
      <c r="V198">
        <v>0</v>
      </c>
      <c r="W198" s="8">
        <v>1</v>
      </c>
      <c r="X198">
        <v>0</v>
      </c>
      <c r="Y198">
        <v>1</v>
      </c>
      <c r="Z198" s="8" t="s">
        <v>164</v>
      </c>
      <c r="AA198" s="8" t="s">
        <v>99</v>
      </c>
      <c r="AB198" t="s">
        <v>21</v>
      </c>
    </row>
    <row r="199" spans="1:28">
      <c r="A199" s="8">
        <v>2003</v>
      </c>
      <c r="B199" s="8">
        <v>41</v>
      </c>
      <c r="C199" s="8"/>
      <c r="D199" s="8" t="s">
        <v>60</v>
      </c>
      <c r="F199" t="s">
        <v>61</v>
      </c>
      <c r="G199" s="8" t="s">
        <v>192</v>
      </c>
      <c r="H199" t="s">
        <v>195</v>
      </c>
      <c r="I199" s="8" t="s">
        <v>152</v>
      </c>
      <c r="J199" t="s">
        <v>184</v>
      </c>
      <c r="K199" s="8" t="s">
        <v>41</v>
      </c>
      <c r="L199" t="s">
        <v>35</v>
      </c>
      <c r="O199">
        <v>0</v>
      </c>
      <c r="P199">
        <v>1</v>
      </c>
      <c r="Q199">
        <v>0</v>
      </c>
      <c r="R199">
        <v>0</v>
      </c>
      <c r="S199">
        <v>0</v>
      </c>
      <c r="T199">
        <v>0</v>
      </c>
      <c r="U199">
        <v>0</v>
      </c>
      <c r="V199">
        <v>0</v>
      </c>
      <c r="W199" s="8">
        <v>1</v>
      </c>
      <c r="X199">
        <v>0</v>
      </c>
      <c r="Y199">
        <v>1</v>
      </c>
      <c r="Z199" s="8" t="s">
        <v>164</v>
      </c>
      <c r="AA199" s="8" t="s">
        <v>99</v>
      </c>
      <c r="AB199" t="s">
        <v>21</v>
      </c>
    </row>
    <row r="200" spans="1:28">
      <c r="A200" s="8">
        <v>2003</v>
      </c>
      <c r="B200" s="8">
        <v>41</v>
      </c>
      <c r="C200" s="8"/>
      <c r="D200" s="8" t="s">
        <v>60</v>
      </c>
      <c r="F200" t="s">
        <v>61</v>
      </c>
      <c r="G200" s="8" t="s">
        <v>152</v>
      </c>
      <c r="H200" t="s">
        <v>184</v>
      </c>
      <c r="I200" s="8" t="s">
        <v>152</v>
      </c>
      <c r="J200" t="s">
        <v>184</v>
      </c>
      <c r="K200" s="8" t="s">
        <v>41</v>
      </c>
      <c r="L200" t="s">
        <v>35</v>
      </c>
      <c r="O200">
        <v>0</v>
      </c>
      <c r="P200">
        <v>1</v>
      </c>
      <c r="Q200">
        <v>1</v>
      </c>
      <c r="R200">
        <v>0</v>
      </c>
      <c r="S200">
        <v>0</v>
      </c>
      <c r="T200">
        <v>0</v>
      </c>
      <c r="U200">
        <v>0</v>
      </c>
      <c r="V200">
        <v>0</v>
      </c>
      <c r="W200" s="8">
        <v>1</v>
      </c>
      <c r="X200">
        <v>0</v>
      </c>
      <c r="Y200">
        <v>1</v>
      </c>
      <c r="Z200" s="8" t="s">
        <v>164</v>
      </c>
      <c r="AA200" s="8" t="s">
        <v>99</v>
      </c>
      <c r="AB200" t="s">
        <v>21</v>
      </c>
    </row>
    <row r="201" spans="1:28">
      <c r="A201" s="8">
        <v>2003</v>
      </c>
      <c r="B201" s="8">
        <v>41</v>
      </c>
      <c r="C201" s="8"/>
      <c r="D201" s="8" t="s">
        <v>60</v>
      </c>
      <c r="F201" t="s">
        <v>61</v>
      </c>
      <c r="G201" s="8" t="s">
        <v>202</v>
      </c>
      <c r="H201" t="s">
        <v>205</v>
      </c>
      <c r="I201" s="8" t="s">
        <v>152</v>
      </c>
      <c r="J201" t="s">
        <v>184</v>
      </c>
      <c r="K201" s="8" t="s">
        <v>41</v>
      </c>
      <c r="L201" t="s">
        <v>35</v>
      </c>
      <c r="O201">
        <v>0</v>
      </c>
      <c r="P201">
        <v>1</v>
      </c>
      <c r="Q201">
        <v>0</v>
      </c>
      <c r="R201">
        <v>0</v>
      </c>
      <c r="S201">
        <v>0</v>
      </c>
      <c r="T201">
        <v>0</v>
      </c>
      <c r="U201">
        <v>0</v>
      </c>
      <c r="V201">
        <v>0</v>
      </c>
      <c r="W201" s="8">
        <v>1</v>
      </c>
      <c r="X201">
        <v>0</v>
      </c>
      <c r="Y201">
        <v>1</v>
      </c>
      <c r="Z201" s="8" t="s">
        <v>164</v>
      </c>
      <c r="AA201" s="8" t="s">
        <v>99</v>
      </c>
      <c r="AB201" t="s">
        <v>21</v>
      </c>
    </row>
    <row r="202" spans="1:28">
      <c r="A202" s="8">
        <v>2003</v>
      </c>
      <c r="B202" s="8">
        <v>41</v>
      </c>
      <c r="C202" s="8"/>
      <c r="D202" s="8" t="s">
        <v>60</v>
      </c>
      <c r="F202" t="s">
        <v>61</v>
      </c>
      <c r="G202" s="8" t="s">
        <v>193</v>
      </c>
      <c r="H202" t="s">
        <v>185</v>
      </c>
      <c r="I202" s="8" t="s">
        <v>152</v>
      </c>
      <c r="J202" t="s">
        <v>184</v>
      </c>
      <c r="K202" s="8" t="s">
        <v>41</v>
      </c>
      <c r="L202" t="s">
        <v>35</v>
      </c>
      <c r="O202">
        <v>0</v>
      </c>
      <c r="P202">
        <v>1</v>
      </c>
      <c r="Q202">
        <v>0</v>
      </c>
      <c r="R202">
        <v>0</v>
      </c>
      <c r="S202">
        <v>0</v>
      </c>
      <c r="T202">
        <v>0</v>
      </c>
      <c r="U202">
        <v>0</v>
      </c>
      <c r="V202">
        <v>0</v>
      </c>
      <c r="W202" s="8">
        <v>1</v>
      </c>
      <c r="X202">
        <v>0</v>
      </c>
      <c r="Y202">
        <v>1</v>
      </c>
      <c r="Z202" s="8" t="s">
        <v>164</v>
      </c>
      <c r="AA202" s="8" t="s">
        <v>99</v>
      </c>
      <c r="AB202" t="s">
        <v>21</v>
      </c>
    </row>
    <row r="203" spans="1:28">
      <c r="A203" s="8">
        <v>2003</v>
      </c>
      <c r="B203" s="8">
        <v>41</v>
      </c>
      <c r="C203" s="8"/>
      <c r="D203" s="8" t="s">
        <v>60</v>
      </c>
      <c r="F203" t="s">
        <v>61</v>
      </c>
      <c r="G203" s="8" t="s">
        <v>203</v>
      </c>
      <c r="H203" t="s">
        <v>206</v>
      </c>
      <c r="I203" s="8" t="s">
        <v>152</v>
      </c>
      <c r="J203" t="s">
        <v>184</v>
      </c>
      <c r="K203" s="8" t="s">
        <v>41</v>
      </c>
      <c r="L203" t="s">
        <v>35</v>
      </c>
      <c r="O203">
        <v>0</v>
      </c>
      <c r="P203">
        <v>1</v>
      </c>
      <c r="Q203">
        <v>0</v>
      </c>
      <c r="R203">
        <v>0</v>
      </c>
      <c r="S203">
        <v>0</v>
      </c>
      <c r="T203">
        <v>0</v>
      </c>
      <c r="U203">
        <v>0</v>
      </c>
      <c r="V203">
        <v>0</v>
      </c>
      <c r="W203" s="8">
        <v>1</v>
      </c>
      <c r="X203">
        <v>0</v>
      </c>
      <c r="Y203">
        <v>1</v>
      </c>
      <c r="Z203" s="8" t="s">
        <v>164</v>
      </c>
      <c r="AA203" s="8" t="s">
        <v>99</v>
      </c>
      <c r="AB203" t="s">
        <v>21</v>
      </c>
    </row>
    <row r="204" spans="1:28">
      <c r="A204" s="8">
        <v>2003</v>
      </c>
      <c r="B204" s="8">
        <v>41</v>
      </c>
      <c r="C204" s="8"/>
      <c r="D204" s="8" t="s">
        <v>60</v>
      </c>
      <c r="F204" t="s">
        <v>61</v>
      </c>
      <c r="G204" s="8" t="s">
        <v>204</v>
      </c>
      <c r="H204" t="s">
        <v>207</v>
      </c>
      <c r="I204" s="8" t="s">
        <v>152</v>
      </c>
      <c r="J204" t="s">
        <v>184</v>
      </c>
      <c r="K204" s="8" t="s">
        <v>41</v>
      </c>
      <c r="L204" t="s">
        <v>35</v>
      </c>
      <c r="O204">
        <v>0</v>
      </c>
      <c r="P204">
        <v>1</v>
      </c>
      <c r="Q204">
        <v>0</v>
      </c>
      <c r="R204">
        <v>0</v>
      </c>
      <c r="S204">
        <v>0</v>
      </c>
      <c r="T204">
        <v>0</v>
      </c>
      <c r="U204">
        <v>0</v>
      </c>
      <c r="V204">
        <v>0</v>
      </c>
      <c r="W204" s="8">
        <v>1</v>
      </c>
      <c r="X204">
        <v>0</v>
      </c>
      <c r="Y204">
        <v>1</v>
      </c>
      <c r="Z204" s="8" t="s">
        <v>164</v>
      </c>
      <c r="AA204" s="8" t="s">
        <v>99</v>
      </c>
      <c r="AB204" t="s">
        <v>21</v>
      </c>
    </row>
    <row r="205" spans="1:28">
      <c r="A205" s="8">
        <v>2003</v>
      </c>
      <c r="B205" s="8">
        <v>42</v>
      </c>
      <c r="C205" s="8"/>
      <c r="D205" s="8" t="s">
        <v>60</v>
      </c>
      <c r="F205" t="s">
        <v>61</v>
      </c>
      <c r="G205" s="8" t="s">
        <v>35</v>
      </c>
      <c r="I205" s="8" t="s">
        <v>152</v>
      </c>
      <c r="J205" t="s">
        <v>184</v>
      </c>
      <c r="K205" s="8" t="s">
        <v>41</v>
      </c>
      <c r="L205" t="s">
        <v>35</v>
      </c>
      <c r="O205">
        <v>0</v>
      </c>
      <c r="P205">
        <v>1</v>
      </c>
      <c r="Q205">
        <v>1</v>
      </c>
      <c r="R205">
        <v>0</v>
      </c>
      <c r="S205">
        <v>0</v>
      </c>
      <c r="T205">
        <v>0</v>
      </c>
      <c r="U205">
        <v>0</v>
      </c>
      <c r="V205">
        <v>0</v>
      </c>
      <c r="W205" s="8">
        <v>0</v>
      </c>
      <c r="X205">
        <v>0</v>
      </c>
      <c r="Y205">
        <v>0</v>
      </c>
      <c r="Z205" s="8"/>
      <c r="AA205" s="8" t="s">
        <v>100</v>
      </c>
      <c r="AB205" t="s">
        <v>21</v>
      </c>
    </row>
    <row r="206" spans="1:28">
      <c r="A206" s="8">
        <v>2003</v>
      </c>
      <c r="B206" s="8">
        <v>42</v>
      </c>
      <c r="C206" s="8"/>
      <c r="D206" s="8" t="s">
        <v>60</v>
      </c>
      <c r="F206" t="s">
        <v>61</v>
      </c>
      <c r="G206" s="8" t="s">
        <v>191</v>
      </c>
      <c r="H206" t="s">
        <v>194</v>
      </c>
      <c r="I206" s="8" t="s">
        <v>152</v>
      </c>
      <c r="J206" t="s">
        <v>184</v>
      </c>
      <c r="K206" s="8" t="s">
        <v>41</v>
      </c>
      <c r="L206" t="s">
        <v>35</v>
      </c>
      <c r="O206">
        <v>0</v>
      </c>
      <c r="P206">
        <v>1</v>
      </c>
      <c r="Q206">
        <v>0</v>
      </c>
      <c r="R206">
        <v>0</v>
      </c>
      <c r="S206">
        <v>0</v>
      </c>
      <c r="T206">
        <v>0</v>
      </c>
      <c r="U206">
        <v>0</v>
      </c>
      <c r="V206">
        <v>0</v>
      </c>
      <c r="W206" s="8">
        <v>0</v>
      </c>
      <c r="X206">
        <v>0</v>
      </c>
      <c r="Y206">
        <v>0</v>
      </c>
      <c r="Z206" s="8"/>
      <c r="AA206" s="8" t="s">
        <v>100</v>
      </c>
      <c r="AB206" t="s">
        <v>21</v>
      </c>
    </row>
    <row r="207" spans="1:28">
      <c r="A207" s="8">
        <v>2003</v>
      </c>
      <c r="B207" s="8">
        <v>42</v>
      </c>
      <c r="C207" s="8"/>
      <c r="D207" s="8" t="s">
        <v>60</v>
      </c>
      <c r="F207" t="s">
        <v>61</v>
      </c>
      <c r="G207" s="8" t="s">
        <v>22</v>
      </c>
      <c r="H207" t="s">
        <v>24</v>
      </c>
      <c r="I207" s="8" t="s">
        <v>152</v>
      </c>
      <c r="J207" t="s">
        <v>184</v>
      </c>
      <c r="K207" s="8" t="s">
        <v>41</v>
      </c>
      <c r="L207" t="s">
        <v>35</v>
      </c>
      <c r="O207">
        <v>0</v>
      </c>
      <c r="P207">
        <v>1</v>
      </c>
      <c r="Q207">
        <v>0</v>
      </c>
      <c r="R207">
        <v>0</v>
      </c>
      <c r="S207">
        <v>0</v>
      </c>
      <c r="T207">
        <v>0</v>
      </c>
      <c r="U207">
        <v>0</v>
      </c>
      <c r="V207">
        <v>0</v>
      </c>
      <c r="W207" s="8">
        <v>0</v>
      </c>
      <c r="X207">
        <v>0</v>
      </c>
      <c r="Y207">
        <v>0</v>
      </c>
      <c r="Z207" s="8"/>
      <c r="AA207" s="8" t="s">
        <v>100</v>
      </c>
      <c r="AB207" t="s">
        <v>21</v>
      </c>
    </row>
    <row r="208" spans="1:28">
      <c r="A208" s="8">
        <v>2003</v>
      </c>
      <c r="B208" s="8">
        <v>42</v>
      </c>
      <c r="C208" s="8"/>
      <c r="D208" s="8" t="s">
        <v>60</v>
      </c>
      <c r="F208" t="s">
        <v>61</v>
      </c>
      <c r="G208" s="8" t="s">
        <v>192</v>
      </c>
      <c r="H208" t="s">
        <v>195</v>
      </c>
      <c r="I208" s="8" t="s">
        <v>152</v>
      </c>
      <c r="J208" t="s">
        <v>184</v>
      </c>
      <c r="K208" s="8" t="s">
        <v>41</v>
      </c>
      <c r="L208" t="s">
        <v>35</v>
      </c>
      <c r="O208">
        <v>0</v>
      </c>
      <c r="P208">
        <v>1</v>
      </c>
      <c r="Q208">
        <v>0</v>
      </c>
      <c r="R208">
        <v>0</v>
      </c>
      <c r="S208">
        <v>0</v>
      </c>
      <c r="T208">
        <v>0</v>
      </c>
      <c r="U208">
        <v>0</v>
      </c>
      <c r="V208">
        <v>0</v>
      </c>
      <c r="W208" s="8">
        <v>0</v>
      </c>
      <c r="X208">
        <v>0</v>
      </c>
      <c r="Y208">
        <v>0</v>
      </c>
      <c r="Z208" s="8"/>
      <c r="AA208" s="8" t="s">
        <v>100</v>
      </c>
      <c r="AB208" t="s">
        <v>21</v>
      </c>
    </row>
    <row r="209" spans="1:30">
      <c r="A209" s="8">
        <v>2003</v>
      </c>
      <c r="B209" s="8">
        <v>42</v>
      </c>
      <c r="C209" s="8"/>
      <c r="D209" s="8" t="s">
        <v>60</v>
      </c>
      <c r="F209" t="s">
        <v>61</v>
      </c>
      <c r="G209" s="8" t="s">
        <v>152</v>
      </c>
      <c r="H209" t="s">
        <v>184</v>
      </c>
      <c r="I209" s="8" t="s">
        <v>152</v>
      </c>
      <c r="J209" t="s">
        <v>184</v>
      </c>
      <c r="K209" s="8" t="s">
        <v>41</v>
      </c>
      <c r="L209" t="s">
        <v>35</v>
      </c>
      <c r="O209">
        <v>0</v>
      </c>
      <c r="P209">
        <v>1</v>
      </c>
      <c r="Q209">
        <v>1</v>
      </c>
      <c r="R209">
        <v>0</v>
      </c>
      <c r="S209">
        <v>0</v>
      </c>
      <c r="T209">
        <v>0</v>
      </c>
      <c r="U209">
        <v>0</v>
      </c>
      <c r="V209">
        <v>0</v>
      </c>
      <c r="W209" s="8">
        <v>0</v>
      </c>
      <c r="X209">
        <v>0</v>
      </c>
      <c r="Y209">
        <v>0</v>
      </c>
      <c r="Z209" s="8"/>
      <c r="AA209" s="8" t="s">
        <v>100</v>
      </c>
      <c r="AB209" t="s">
        <v>21</v>
      </c>
    </row>
    <row r="210" spans="1:30">
      <c r="A210" s="8">
        <v>2003</v>
      </c>
      <c r="B210" s="8">
        <v>42</v>
      </c>
      <c r="C210" s="8"/>
      <c r="D210" s="8" t="s">
        <v>60</v>
      </c>
      <c r="F210" t="s">
        <v>61</v>
      </c>
      <c r="G210" s="8" t="s">
        <v>202</v>
      </c>
      <c r="H210" t="s">
        <v>205</v>
      </c>
      <c r="I210" s="8" t="s">
        <v>152</v>
      </c>
      <c r="J210" t="s">
        <v>184</v>
      </c>
      <c r="K210" s="8" t="s">
        <v>41</v>
      </c>
      <c r="L210" t="s">
        <v>35</v>
      </c>
      <c r="O210">
        <v>0</v>
      </c>
      <c r="P210">
        <v>1</v>
      </c>
      <c r="Q210">
        <v>0</v>
      </c>
      <c r="R210">
        <v>0</v>
      </c>
      <c r="S210">
        <v>0</v>
      </c>
      <c r="T210">
        <v>0</v>
      </c>
      <c r="U210">
        <v>0</v>
      </c>
      <c r="V210">
        <v>0</v>
      </c>
      <c r="W210" s="8">
        <v>0</v>
      </c>
      <c r="X210">
        <v>0</v>
      </c>
      <c r="Y210">
        <v>0</v>
      </c>
      <c r="Z210" s="8"/>
      <c r="AA210" s="8" t="s">
        <v>100</v>
      </c>
      <c r="AB210" t="s">
        <v>21</v>
      </c>
    </row>
    <row r="211" spans="1:30">
      <c r="A211" s="8">
        <v>2003</v>
      </c>
      <c r="B211" s="8">
        <v>42</v>
      </c>
      <c r="C211" s="8"/>
      <c r="D211" s="8" t="s">
        <v>60</v>
      </c>
      <c r="F211" t="s">
        <v>61</v>
      </c>
      <c r="G211" s="8" t="s">
        <v>193</v>
      </c>
      <c r="H211" t="s">
        <v>185</v>
      </c>
      <c r="I211" s="8" t="s">
        <v>152</v>
      </c>
      <c r="J211" t="s">
        <v>184</v>
      </c>
      <c r="K211" s="8" t="s">
        <v>41</v>
      </c>
      <c r="L211" t="s">
        <v>35</v>
      </c>
      <c r="O211">
        <v>0</v>
      </c>
      <c r="P211">
        <v>1</v>
      </c>
      <c r="Q211">
        <v>0</v>
      </c>
      <c r="R211">
        <v>0</v>
      </c>
      <c r="S211">
        <v>0</v>
      </c>
      <c r="T211">
        <v>0</v>
      </c>
      <c r="U211">
        <v>0</v>
      </c>
      <c r="V211">
        <v>0</v>
      </c>
      <c r="W211" s="8">
        <v>0</v>
      </c>
      <c r="X211">
        <v>0</v>
      </c>
      <c r="Y211">
        <v>0</v>
      </c>
      <c r="Z211" s="8"/>
      <c r="AA211" s="8" t="s">
        <v>100</v>
      </c>
      <c r="AB211" t="s">
        <v>21</v>
      </c>
    </row>
    <row r="212" spans="1:30">
      <c r="A212" s="8">
        <v>2003</v>
      </c>
      <c r="B212" s="8">
        <v>42</v>
      </c>
      <c r="C212" s="8"/>
      <c r="D212" s="8" t="s">
        <v>60</v>
      </c>
      <c r="F212" t="s">
        <v>61</v>
      </c>
      <c r="G212" s="8" t="s">
        <v>203</v>
      </c>
      <c r="H212" t="s">
        <v>206</v>
      </c>
      <c r="I212" s="8" t="s">
        <v>152</v>
      </c>
      <c r="J212" t="s">
        <v>184</v>
      </c>
      <c r="K212" s="8" t="s">
        <v>41</v>
      </c>
      <c r="L212" t="s">
        <v>35</v>
      </c>
      <c r="O212">
        <v>0</v>
      </c>
      <c r="P212">
        <v>1</v>
      </c>
      <c r="Q212">
        <v>0</v>
      </c>
      <c r="R212">
        <v>0</v>
      </c>
      <c r="S212">
        <v>0</v>
      </c>
      <c r="T212">
        <v>0</v>
      </c>
      <c r="U212">
        <v>0</v>
      </c>
      <c r="V212">
        <v>0</v>
      </c>
      <c r="W212" s="8">
        <v>0</v>
      </c>
      <c r="X212">
        <v>0</v>
      </c>
      <c r="Y212">
        <v>0</v>
      </c>
      <c r="Z212" s="8"/>
      <c r="AA212" s="8" t="s">
        <v>100</v>
      </c>
      <c r="AB212" t="s">
        <v>21</v>
      </c>
    </row>
    <row r="213" spans="1:30">
      <c r="A213" s="8">
        <v>2003</v>
      </c>
      <c r="B213" s="8">
        <v>42</v>
      </c>
      <c r="C213" s="8"/>
      <c r="D213" s="8" t="s">
        <v>60</v>
      </c>
      <c r="F213" t="s">
        <v>61</v>
      </c>
      <c r="G213" s="8" t="s">
        <v>204</v>
      </c>
      <c r="H213" t="s">
        <v>207</v>
      </c>
      <c r="I213" s="8" t="s">
        <v>152</v>
      </c>
      <c r="J213" t="s">
        <v>184</v>
      </c>
      <c r="K213" s="8" t="s">
        <v>41</v>
      </c>
      <c r="L213" t="s">
        <v>35</v>
      </c>
      <c r="O213">
        <v>0</v>
      </c>
      <c r="P213">
        <v>1</v>
      </c>
      <c r="Q213">
        <v>0</v>
      </c>
      <c r="R213">
        <v>0</v>
      </c>
      <c r="S213">
        <v>0</v>
      </c>
      <c r="T213">
        <v>0</v>
      </c>
      <c r="U213">
        <v>0</v>
      </c>
      <c r="V213">
        <v>0</v>
      </c>
      <c r="W213" s="8">
        <v>0</v>
      </c>
      <c r="X213">
        <v>0</v>
      </c>
      <c r="Y213">
        <v>0</v>
      </c>
      <c r="Z213" s="8"/>
      <c r="AA213" s="8" t="s">
        <v>100</v>
      </c>
      <c r="AB213" t="s">
        <v>21</v>
      </c>
    </row>
    <row r="214" spans="1:30">
      <c r="A214" s="8">
        <v>2003</v>
      </c>
      <c r="B214" s="8">
        <v>43</v>
      </c>
      <c r="C214" s="8"/>
      <c r="D214" s="8" t="s">
        <v>60</v>
      </c>
      <c r="F214" t="s">
        <v>61</v>
      </c>
      <c r="G214" s="8" t="s">
        <v>35</v>
      </c>
      <c r="I214" s="8" t="s">
        <v>152</v>
      </c>
      <c r="J214" t="s">
        <v>184</v>
      </c>
      <c r="K214" s="8" t="s">
        <v>41</v>
      </c>
      <c r="L214" t="s">
        <v>35</v>
      </c>
      <c r="O214">
        <v>0</v>
      </c>
      <c r="P214">
        <v>1</v>
      </c>
      <c r="Q214">
        <v>1</v>
      </c>
      <c r="R214">
        <v>0</v>
      </c>
      <c r="S214">
        <v>0</v>
      </c>
      <c r="T214">
        <v>0</v>
      </c>
      <c r="U214">
        <v>1</v>
      </c>
      <c r="V214">
        <v>0</v>
      </c>
      <c r="W214" s="8">
        <v>1</v>
      </c>
      <c r="X214" s="8">
        <v>1</v>
      </c>
      <c r="Y214">
        <v>1</v>
      </c>
      <c r="Z214" s="8" t="s">
        <v>169</v>
      </c>
      <c r="AA214" s="8" t="s">
        <v>101</v>
      </c>
      <c r="AB214" t="s">
        <v>21</v>
      </c>
      <c r="AD214" t="s">
        <v>306</v>
      </c>
    </row>
    <row r="215" spans="1:30">
      <c r="A215" s="8">
        <v>2003</v>
      </c>
      <c r="B215" s="8">
        <v>43</v>
      </c>
      <c r="C215" s="8"/>
      <c r="D215" s="8" t="s">
        <v>60</v>
      </c>
      <c r="F215" t="s">
        <v>61</v>
      </c>
      <c r="G215" s="8" t="s">
        <v>191</v>
      </c>
      <c r="H215" s="8" t="s">
        <v>194</v>
      </c>
      <c r="I215" s="8" t="s">
        <v>152</v>
      </c>
      <c r="J215" s="8" t="s">
        <v>184</v>
      </c>
      <c r="K215" s="8" t="s">
        <v>41</v>
      </c>
      <c r="L215" s="8" t="s">
        <v>35</v>
      </c>
      <c r="M215" s="8"/>
      <c r="N215" s="8"/>
      <c r="O215">
        <v>0</v>
      </c>
      <c r="P215">
        <v>1</v>
      </c>
      <c r="Q215">
        <v>0</v>
      </c>
      <c r="R215">
        <v>0</v>
      </c>
      <c r="S215">
        <v>0</v>
      </c>
      <c r="T215">
        <v>0</v>
      </c>
      <c r="U215">
        <v>0</v>
      </c>
      <c r="V215">
        <v>0</v>
      </c>
      <c r="W215" s="8">
        <v>1</v>
      </c>
      <c r="X215" s="8">
        <v>1</v>
      </c>
      <c r="Y215">
        <v>1</v>
      </c>
      <c r="Z215" s="8" t="s">
        <v>169</v>
      </c>
      <c r="AA215" s="8" t="s">
        <v>101</v>
      </c>
      <c r="AB215" t="s">
        <v>21</v>
      </c>
      <c r="AD215" t="s">
        <v>306</v>
      </c>
    </row>
    <row r="216" spans="1:30">
      <c r="A216" s="8">
        <v>2003</v>
      </c>
      <c r="B216" s="8">
        <v>43</v>
      </c>
      <c r="C216" s="8"/>
      <c r="D216" s="8" t="s">
        <v>60</v>
      </c>
      <c r="F216" t="s">
        <v>61</v>
      </c>
      <c r="G216" s="8" t="s">
        <v>22</v>
      </c>
      <c r="H216" s="8" t="s">
        <v>24</v>
      </c>
      <c r="I216" s="8" t="s">
        <v>152</v>
      </c>
      <c r="J216" s="8" t="s">
        <v>184</v>
      </c>
      <c r="K216" s="8" t="s">
        <v>41</v>
      </c>
      <c r="L216" s="8" t="s">
        <v>35</v>
      </c>
      <c r="M216" s="8"/>
      <c r="N216" s="8"/>
      <c r="O216">
        <v>0</v>
      </c>
      <c r="P216">
        <v>1</v>
      </c>
      <c r="Q216">
        <v>0</v>
      </c>
      <c r="R216">
        <v>0</v>
      </c>
      <c r="S216">
        <v>0</v>
      </c>
      <c r="T216">
        <v>0</v>
      </c>
      <c r="U216">
        <v>0</v>
      </c>
      <c r="V216">
        <v>0</v>
      </c>
      <c r="W216" s="8">
        <v>1</v>
      </c>
      <c r="X216" s="8">
        <v>1</v>
      </c>
      <c r="Y216">
        <v>1</v>
      </c>
      <c r="Z216" s="8" t="s">
        <v>169</v>
      </c>
      <c r="AA216" s="8" t="s">
        <v>101</v>
      </c>
      <c r="AB216" t="s">
        <v>21</v>
      </c>
      <c r="AD216" t="s">
        <v>306</v>
      </c>
    </row>
    <row r="217" spans="1:30">
      <c r="A217" s="8">
        <v>2003</v>
      </c>
      <c r="B217" s="8">
        <v>43</v>
      </c>
      <c r="C217" s="8"/>
      <c r="D217" s="8" t="s">
        <v>60</v>
      </c>
      <c r="F217" t="s">
        <v>61</v>
      </c>
      <c r="G217" s="8" t="s">
        <v>192</v>
      </c>
      <c r="H217" s="8" t="s">
        <v>195</v>
      </c>
      <c r="I217" s="8" t="s">
        <v>152</v>
      </c>
      <c r="J217" s="8" t="s">
        <v>184</v>
      </c>
      <c r="K217" s="8" t="s">
        <v>41</v>
      </c>
      <c r="L217" s="8" t="s">
        <v>35</v>
      </c>
      <c r="M217" s="8"/>
      <c r="N217" s="8"/>
      <c r="O217">
        <v>0</v>
      </c>
      <c r="P217">
        <v>1</v>
      </c>
      <c r="Q217">
        <v>0</v>
      </c>
      <c r="R217">
        <v>0</v>
      </c>
      <c r="S217">
        <v>0</v>
      </c>
      <c r="T217">
        <v>0</v>
      </c>
      <c r="U217">
        <v>0</v>
      </c>
      <c r="V217">
        <v>0</v>
      </c>
      <c r="W217" s="8">
        <v>1</v>
      </c>
      <c r="X217" s="8">
        <v>1</v>
      </c>
      <c r="Y217">
        <v>1</v>
      </c>
      <c r="Z217" s="8" t="s">
        <v>169</v>
      </c>
      <c r="AA217" s="8" t="s">
        <v>101</v>
      </c>
      <c r="AB217" t="s">
        <v>21</v>
      </c>
      <c r="AD217" t="s">
        <v>306</v>
      </c>
    </row>
    <row r="218" spans="1:30">
      <c r="A218" s="8">
        <v>2003</v>
      </c>
      <c r="B218" s="8">
        <v>43</v>
      </c>
      <c r="C218" s="8"/>
      <c r="D218" s="8" t="s">
        <v>60</v>
      </c>
      <c r="F218" t="s">
        <v>61</v>
      </c>
      <c r="G218" s="8" t="s">
        <v>152</v>
      </c>
      <c r="H218" s="8" t="s">
        <v>184</v>
      </c>
      <c r="I218" s="8" t="s">
        <v>152</v>
      </c>
      <c r="J218" s="8" t="s">
        <v>184</v>
      </c>
      <c r="K218" s="8" t="s">
        <v>41</v>
      </c>
      <c r="L218" s="8" t="s">
        <v>35</v>
      </c>
      <c r="M218" s="8"/>
      <c r="N218" s="8"/>
      <c r="O218">
        <v>0</v>
      </c>
      <c r="P218">
        <v>1</v>
      </c>
      <c r="Q218">
        <v>1</v>
      </c>
      <c r="R218">
        <v>0</v>
      </c>
      <c r="S218">
        <v>0</v>
      </c>
      <c r="T218">
        <v>0</v>
      </c>
      <c r="U218">
        <v>0</v>
      </c>
      <c r="V218">
        <v>0</v>
      </c>
      <c r="W218" s="8">
        <v>1</v>
      </c>
      <c r="X218" s="8">
        <v>1</v>
      </c>
      <c r="Y218">
        <v>1</v>
      </c>
      <c r="Z218" s="8" t="s">
        <v>169</v>
      </c>
      <c r="AA218" s="8" t="s">
        <v>101</v>
      </c>
      <c r="AB218" t="s">
        <v>21</v>
      </c>
      <c r="AD218" t="s">
        <v>306</v>
      </c>
    </row>
    <row r="219" spans="1:30">
      <c r="A219" s="8">
        <v>2003</v>
      </c>
      <c r="B219" s="8">
        <v>43</v>
      </c>
      <c r="C219" s="8"/>
      <c r="D219" s="8" t="s">
        <v>60</v>
      </c>
      <c r="F219" t="s">
        <v>61</v>
      </c>
      <c r="G219" s="8" t="s">
        <v>202</v>
      </c>
      <c r="H219" s="8" t="s">
        <v>205</v>
      </c>
      <c r="I219" s="8" t="s">
        <v>152</v>
      </c>
      <c r="J219" s="8" t="s">
        <v>184</v>
      </c>
      <c r="K219" s="8" t="s">
        <v>41</v>
      </c>
      <c r="L219" s="8" t="s">
        <v>35</v>
      </c>
      <c r="M219" s="8"/>
      <c r="N219" s="8"/>
      <c r="O219">
        <v>0</v>
      </c>
      <c r="P219">
        <v>1</v>
      </c>
      <c r="Q219">
        <v>0</v>
      </c>
      <c r="R219">
        <v>0</v>
      </c>
      <c r="S219">
        <v>0</v>
      </c>
      <c r="T219">
        <v>0</v>
      </c>
      <c r="U219">
        <v>0</v>
      </c>
      <c r="V219">
        <v>0</v>
      </c>
      <c r="W219" s="8">
        <v>1</v>
      </c>
      <c r="X219" s="8">
        <v>1</v>
      </c>
      <c r="Y219">
        <v>1</v>
      </c>
      <c r="Z219" s="8" t="s">
        <v>169</v>
      </c>
      <c r="AA219" s="8" t="s">
        <v>101</v>
      </c>
      <c r="AB219" t="s">
        <v>21</v>
      </c>
      <c r="AD219" t="s">
        <v>306</v>
      </c>
    </row>
    <row r="220" spans="1:30">
      <c r="A220" s="8">
        <v>2003</v>
      </c>
      <c r="B220" s="8">
        <v>43</v>
      </c>
      <c r="C220" s="8"/>
      <c r="D220" s="8" t="s">
        <v>60</v>
      </c>
      <c r="F220" t="s">
        <v>61</v>
      </c>
      <c r="G220" s="8" t="s">
        <v>193</v>
      </c>
      <c r="H220" s="8" t="s">
        <v>185</v>
      </c>
      <c r="I220" s="8" t="s">
        <v>152</v>
      </c>
      <c r="J220" s="8" t="s">
        <v>184</v>
      </c>
      <c r="K220" s="8" t="s">
        <v>41</v>
      </c>
      <c r="L220" s="8" t="s">
        <v>35</v>
      </c>
      <c r="M220" s="8"/>
      <c r="N220" s="8"/>
      <c r="O220">
        <v>0</v>
      </c>
      <c r="P220">
        <v>1</v>
      </c>
      <c r="Q220">
        <v>0</v>
      </c>
      <c r="R220">
        <v>0</v>
      </c>
      <c r="S220">
        <v>0</v>
      </c>
      <c r="T220">
        <v>0</v>
      </c>
      <c r="U220">
        <v>0</v>
      </c>
      <c r="V220">
        <v>0</v>
      </c>
      <c r="W220" s="8">
        <v>1</v>
      </c>
      <c r="X220" s="8">
        <v>1</v>
      </c>
      <c r="Y220">
        <v>1</v>
      </c>
      <c r="Z220" s="8" t="s">
        <v>169</v>
      </c>
      <c r="AA220" s="8" t="s">
        <v>101</v>
      </c>
      <c r="AB220" t="s">
        <v>21</v>
      </c>
      <c r="AD220" t="s">
        <v>306</v>
      </c>
    </row>
    <row r="221" spans="1:30">
      <c r="A221" s="8">
        <v>2003</v>
      </c>
      <c r="B221" s="8">
        <v>43</v>
      </c>
      <c r="C221" s="8"/>
      <c r="D221" s="8" t="s">
        <v>60</v>
      </c>
      <c r="F221" t="s">
        <v>61</v>
      </c>
      <c r="G221" s="8" t="s">
        <v>203</v>
      </c>
      <c r="H221" s="8" t="s">
        <v>206</v>
      </c>
      <c r="I221" s="8" t="s">
        <v>152</v>
      </c>
      <c r="J221" s="8" t="s">
        <v>184</v>
      </c>
      <c r="K221" s="8" t="s">
        <v>41</v>
      </c>
      <c r="L221" s="8" t="s">
        <v>35</v>
      </c>
      <c r="M221" s="8"/>
      <c r="N221" s="8"/>
      <c r="O221">
        <v>0</v>
      </c>
      <c r="P221">
        <v>1</v>
      </c>
      <c r="Q221">
        <v>0</v>
      </c>
      <c r="R221">
        <v>0</v>
      </c>
      <c r="S221">
        <v>0</v>
      </c>
      <c r="T221">
        <v>0</v>
      </c>
      <c r="U221">
        <v>0</v>
      </c>
      <c r="V221">
        <v>0</v>
      </c>
      <c r="W221" s="8">
        <v>1</v>
      </c>
      <c r="X221" s="8">
        <v>1</v>
      </c>
      <c r="Y221">
        <v>1</v>
      </c>
      <c r="Z221" s="8" t="s">
        <v>169</v>
      </c>
      <c r="AA221" s="8" t="s">
        <v>101</v>
      </c>
      <c r="AB221" t="s">
        <v>21</v>
      </c>
      <c r="AD221" t="s">
        <v>306</v>
      </c>
    </row>
    <row r="222" spans="1:30">
      <c r="A222" s="8">
        <v>2003</v>
      </c>
      <c r="B222" s="8">
        <v>43</v>
      </c>
      <c r="C222" s="8"/>
      <c r="D222" s="8" t="s">
        <v>60</v>
      </c>
      <c r="F222" t="s">
        <v>61</v>
      </c>
      <c r="G222" s="8" t="s">
        <v>204</v>
      </c>
      <c r="H222" s="8" t="s">
        <v>207</v>
      </c>
      <c r="I222" s="8" t="s">
        <v>152</v>
      </c>
      <c r="J222" s="8" t="s">
        <v>184</v>
      </c>
      <c r="K222" s="8" t="s">
        <v>41</v>
      </c>
      <c r="L222" s="8" t="s">
        <v>35</v>
      </c>
      <c r="M222" s="8"/>
      <c r="N222" s="8"/>
      <c r="O222">
        <v>0</v>
      </c>
      <c r="P222">
        <v>1</v>
      </c>
      <c r="Q222">
        <v>0</v>
      </c>
      <c r="R222">
        <v>0</v>
      </c>
      <c r="S222">
        <v>0</v>
      </c>
      <c r="T222">
        <v>0</v>
      </c>
      <c r="U222">
        <v>0</v>
      </c>
      <c r="V222">
        <v>0</v>
      </c>
      <c r="W222" s="8">
        <v>1</v>
      </c>
      <c r="X222" s="8">
        <v>1</v>
      </c>
      <c r="Y222">
        <v>1</v>
      </c>
      <c r="Z222" s="8" t="s">
        <v>169</v>
      </c>
      <c r="AA222" s="8" t="s">
        <v>101</v>
      </c>
      <c r="AB222" t="s">
        <v>21</v>
      </c>
      <c r="AD222" t="s">
        <v>306</v>
      </c>
    </row>
    <row r="223" spans="1:30">
      <c r="A223" s="8">
        <v>2003</v>
      </c>
      <c r="B223" s="8">
        <v>44</v>
      </c>
      <c r="C223" s="8"/>
      <c r="D223" s="8" t="s">
        <v>60</v>
      </c>
      <c r="F223" t="s">
        <v>61</v>
      </c>
      <c r="G223" s="8" t="s">
        <v>35</v>
      </c>
      <c r="I223" s="8" t="s">
        <v>152</v>
      </c>
      <c r="J223" t="s">
        <v>184</v>
      </c>
      <c r="K223" s="8" t="s">
        <v>41</v>
      </c>
      <c r="L223" s="8" t="s">
        <v>35</v>
      </c>
      <c r="M223" s="8"/>
      <c r="N223" s="8"/>
      <c r="O223">
        <v>0</v>
      </c>
      <c r="P223">
        <v>1</v>
      </c>
      <c r="Q223">
        <v>1</v>
      </c>
      <c r="R223">
        <v>1</v>
      </c>
      <c r="S223">
        <v>0</v>
      </c>
      <c r="T223">
        <v>0</v>
      </c>
      <c r="U223">
        <v>0</v>
      </c>
      <c r="V223">
        <v>0</v>
      </c>
      <c r="W223" s="8">
        <v>0</v>
      </c>
      <c r="X223">
        <v>0</v>
      </c>
      <c r="Y223">
        <v>0</v>
      </c>
      <c r="Z223" s="8"/>
      <c r="AA223" s="8" t="s">
        <v>102</v>
      </c>
      <c r="AB223" t="s">
        <v>21</v>
      </c>
    </row>
    <row r="224" spans="1:30">
      <c r="A224" s="8">
        <v>2003</v>
      </c>
      <c r="B224" s="8">
        <v>44</v>
      </c>
      <c r="C224" s="8"/>
      <c r="D224" s="8" t="s">
        <v>60</v>
      </c>
      <c r="F224" t="s">
        <v>61</v>
      </c>
      <c r="G224" s="8" t="s">
        <v>191</v>
      </c>
      <c r="H224" s="8" t="s">
        <v>194</v>
      </c>
      <c r="I224" s="8" t="s">
        <v>152</v>
      </c>
      <c r="J224" s="8" t="s">
        <v>184</v>
      </c>
      <c r="K224" s="8" t="s">
        <v>41</v>
      </c>
      <c r="L224" s="8" t="s">
        <v>35</v>
      </c>
      <c r="M224" s="8"/>
      <c r="N224" s="8"/>
      <c r="O224">
        <v>0</v>
      </c>
      <c r="P224">
        <v>1</v>
      </c>
      <c r="Q224">
        <v>0</v>
      </c>
      <c r="R224">
        <v>1</v>
      </c>
      <c r="S224">
        <v>0</v>
      </c>
      <c r="T224">
        <v>0</v>
      </c>
      <c r="U224">
        <v>0</v>
      </c>
      <c r="V224">
        <v>0</v>
      </c>
      <c r="W224" s="8">
        <v>0</v>
      </c>
      <c r="X224" s="8">
        <v>0</v>
      </c>
      <c r="Y224">
        <v>0</v>
      </c>
      <c r="Z224" s="8"/>
      <c r="AA224" s="8" t="s">
        <v>102</v>
      </c>
      <c r="AB224" t="s">
        <v>21</v>
      </c>
    </row>
    <row r="225" spans="1:28">
      <c r="A225" s="8">
        <v>2003</v>
      </c>
      <c r="B225" s="8">
        <v>44</v>
      </c>
      <c r="C225" s="8"/>
      <c r="D225" s="8" t="s">
        <v>60</v>
      </c>
      <c r="F225" t="s">
        <v>61</v>
      </c>
      <c r="G225" s="8" t="s">
        <v>22</v>
      </c>
      <c r="H225" s="8" t="s">
        <v>24</v>
      </c>
      <c r="I225" s="8" t="s">
        <v>152</v>
      </c>
      <c r="J225" s="8" t="s">
        <v>184</v>
      </c>
      <c r="K225" s="8" t="s">
        <v>41</v>
      </c>
      <c r="L225" s="8" t="s">
        <v>35</v>
      </c>
      <c r="M225" s="8"/>
      <c r="N225" s="8"/>
      <c r="O225">
        <v>0</v>
      </c>
      <c r="P225">
        <v>1</v>
      </c>
      <c r="Q225">
        <v>0</v>
      </c>
      <c r="R225">
        <v>1</v>
      </c>
      <c r="S225">
        <v>0</v>
      </c>
      <c r="T225">
        <v>0</v>
      </c>
      <c r="U225">
        <v>0</v>
      </c>
      <c r="V225">
        <v>0</v>
      </c>
      <c r="W225" s="8">
        <v>0</v>
      </c>
      <c r="X225" s="8">
        <v>0</v>
      </c>
      <c r="Y225">
        <v>0</v>
      </c>
      <c r="Z225" s="8"/>
      <c r="AA225" s="8" t="s">
        <v>102</v>
      </c>
      <c r="AB225" t="s">
        <v>21</v>
      </c>
    </row>
    <row r="226" spans="1:28">
      <c r="A226" s="8">
        <v>2003</v>
      </c>
      <c r="B226" s="8">
        <v>44</v>
      </c>
      <c r="C226" s="8"/>
      <c r="D226" s="8" t="s">
        <v>60</v>
      </c>
      <c r="F226" t="s">
        <v>61</v>
      </c>
      <c r="G226" s="8" t="s">
        <v>192</v>
      </c>
      <c r="H226" s="8" t="s">
        <v>195</v>
      </c>
      <c r="I226" s="8" t="s">
        <v>152</v>
      </c>
      <c r="J226" s="8" t="s">
        <v>184</v>
      </c>
      <c r="K226" s="8" t="s">
        <v>41</v>
      </c>
      <c r="L226" s="8" t="s">
        <v>35</v>
      </c>
      <c r="M226" s="8"/>
      <c r="N226" s="8"/>
      <c r="O226">
        <v>0</v>
      </c>
      <c r="P226">
        <v>1</v>
      </c>
      <c r="Q226">
        <v>0</v>
      </c>
      <c r="R226">
        <v>1</v>
      </c>
      <c r="S226">
        <v>0</v>
      </c>
      <c r="T226">
        <v>0</v>
      </c>
      <c r="U226">
        <v>0</v>
      </c>
      <c r="V226">
        <v>0</v>
      </c>
      <c r="W226" s="8">
        <v>0</v>
      </c>
      <c r="X226">
        <v>0</v>
      </c>
      <c r="Y226">
        <v>0</v>
      </c>
      <c r="Z226" s="8"/>
      <c r="AA226" s="8" t="s">
        <v>102</v>
      </c>
      <c r="AB226" t="s">
        <v>21</v>
      </c>
    </row>
    <row r="227" spans="1:28">
      <c r="A227" s="8">
        <v>2003</v>
      </c>
      <c r="B227" s="8">
        <v>44</v>
      </c>
      <c r="C227" s="8"/>
      <c r="D227" s="8" t="s">
        <v>60</v>
      </c>
      <c r="F227" t="s">
        <v>61</v>
      </c>
      <c r="G227" s="8" t="s">
        <v>152</v>
      </c>
      <c r="H227" s="8" t="s">
        <v>184</v>
      </c>
      <c r="I227" s="8" t="s">
        <v>152</v>
      </c>
      <c r="J227" s="8" t="s">
        <v>184</v>
      </c>
      <c r="K227" s="8" t="s">
        <v>41</v>
      </c>
      <c r="L227" s="8" t="s">
        <v>35</v>
      </c>
      <c r="M227" s="8"/>
      <c r="N227" s="8"/>
      <c r="O227">
        <v>0</v>
      </c>
      <c r="P227">
        <v>1</v>
      </c>
      <c r="Q227">
        <v>1</v>
      </c>
      <c r="R227">
        <v>1</v>
      </c>
      <c r="S227">
        <v>0</v>
      </c>
      <c r="T227">
        <v>0</v>
      </c>
      <c r="U227">
        <v>0</v>
      </c>
      <c r="V227">
        <v>0</v>
      </c>
      <c r="W227" s="8">
        <v>0</v>
      </c>
      <c r="X227">
        <v>0</v>
      </c>
      <c r="Y227">
        <v>0</v>
      </c>
      <c r="Z227" s="8"/>
      <c r="AA227" s="8" t="s">
        <v>102</v>
      </c>
      <c r="AB227" t="s">
        <v>21</v>
      </c>
    </row>
    <row r="228" spans="1:28">
      <c r="A228" s="8">
        <v>2003</v>
      </c>
      <c r="B228" s="8">
        <v>44</v>
      </c>
      <c r="C228" s="8"/>
      <c r="D228" s="8" t="s">
        <v>60</v>
      </c>
      <c r="F228" t="s">
        <v>61</v>
      </c>
      <c r="G228" s="8" t="s">
        <v>202</v>
      </c>
      <c r="H228" s="8" t="s">
        <v>205</v>
      </c>
      <c r="I228" s="8" t="s">
        <v>152</v>
      </c>
      <c r="J228" s="8" t="s">
        <v>184</v>
      </c>
      <c r="K228" s="8" t="s">
        <v>41</v>
      </c>
      <c r="L228" s="8" t="s">
        <v>35</v>
      </c>
      <c r="M228" s="8"/>
      <c r="N228" s="8"/>
      <c r="O228">
        <v>0</v>
      </c>
      <c r="P228">
        <v>1</v>
      </c>
      <c r="Q228">
        <v>0</v>
      </c>
      <c r="R228">
        <v>1</v>
      </c>
      <c r="S228">
        <v>0</v>
      </c>
      <c r="T228">
        <v>0</v>
      </c>
      <c r="U228">
        <v>0</v>
      </c>
      <c r="V228">
        <v>0</v>
      </c>
      <c r="W228" s="8">
        <v>0</v>
      </c>
      <c r="X228">
        <v>0</v>
      </c>
      <c r="Y228">
        <v>0</v>
      </c>
      <c r="Z228" s="8"/>
      <c r="AA228" s="8" t="s">
        <v>102</v>
      </c>
      <c r="AB228" t="s">
        <v>21</v>
      </c>
    </row>
    <row r="229" spans="1:28">
      <c r="A229" s="8">
        <v>2003</v>
      </c>
      <c r="B229" s="8">
        <v>44</v>
      </c>
      <c r="C229" s="8"/>
      <c r="D229" s="8" t="s">
        <v>60</v>
      </c>
      <c r="F229" t="s">
        <v>61</v>
      </c>
      <c r="G229" s="8" t="s">
        <v>193</v>
      </c>
      <c r="H229" s="8" t="s">
        <v>185</v>
      </c>
      <c r="I229" s="8" t="s">
        <v>152</v>
      </c>
      <c r="J229" s="8" t="s">
        <v>184</v>
      </c>
      <c r="K229" s="8" t="s">
        <v>41</v>
      </c>
      <c r="L229" s="8" t="s">
        <v>35</v>
      </c>
      <c r="M229" s="8"/>
      <c r="N229" s="8"/>
      <c r="O229">
        <v>0</v>
      </c>
      <c r="P229">
        <v>1</v>
      </c>
      <c r="Q229">
        <v>0</v>
      </c>
      <c r="R229">
        <v>1</v>
      </c>
      <c r="S229">
        <v>0</v>
      </c>
      <c r="T229">
        <v>0</v>
      </c>
      <c r="U229">
        <v>0</v>
      </c>
      <c r="V229">
        <v>0</v>
      </c>
      <c r="W229" s="8">
        <v>0</v>
      </c>
      <c r="X229">
        <v>0</v>
      </c>
      <c r="Y229">
        <v>0</v>
      </c>
      <c r="Z229" s="8"/>
      <c r="AA229" s="8" t="s">
        <v>102</v>
      </c>
      <c r="AB229" t="s">
        <v>21</v>
      </c>
    </row>
    <row r="230" spans="1:28">
      <c r="A230" s="8">
        <v>2003</v>
      </c>
      <c r="B230" s="8">
        <v>44</v>
      </c>
      <c r="C230" s="8"/>
      <c r="D230" s="8" t="s">
        <v>60</v>
      </c>
      <c r="F230" t="s">
        <v>61</v>
      </c>
      <c r="G230" s="8" t="s">
        <v>203</v>
      </c>
      <c r="H230" s="8" t="s">
        <v>206</v>
      </c>
      <c r="I230" s="8" t="s">
        <v>152</v>
      </c>
      <c r="J230" s="8" t="s">
        <v>184</v>
      </c>
      <c r="K230" s="8" t="s">
        <v>41</v>
      </c>
      <c r="L230" s="8" t="s">
        <v>35</v>
      </c>
      <c r="M230" s="8"/>
      <c r="N230" s="8"/>
      <c r="O230">
        <v>0</v>
      </c>
      <c r="P230">
        <v>1</v>
      </c>
      <c r="Q230">
        <v>0</v>
      </c>
      <c r="R230">
        <v>1</v>
      </c>
      <c r="S230">
        <v>0</v>
      </c>
      <c r="T230">
        <v>0</v>
      </c>
      <c r="U230">
        <v>0</v>
      </c>
      <c r="V230">
        <v>0</v>
      </c>
      <c r="W230" s="8">
        <v>0</v>
      </c>
      <c r="X230">
        <v>0</v>
      </c>
      <c r="Y230">
        <v>0</v>
      </c>
      <c r="Z230" s="8"/>
      <c r="AA230" s="8" t="s">
        <v>102</v>
      </c>
      <c r="AB230" t="s">
        <v>21</v>
      </c>
    </row>
    <row r="231" spans="1:28">
      <c r="A231" s="8">
        <v>2003</v>
      </c>
      <c r="B231" s="8">
        <v>44</v>
      </c>
      <c r="C231" s="8"/>
      <c r="D231" s="8" t="s">
        <v>60</v>
      </c>
      <c r="F231" t="s">
        <v>61</v>
      </c>
      <c r="G231" s="8" t="s">
        <v>204</v>
      </c>
      <c r="H231" s="8" t="s">
        <v>207</v>
      </c>
      <c r="I231" s="8" t="s">
        <v>152</v>
      </c>
      <c r="J231" s="8" t="s">
        <v>184</v>
      </c>
      <c r="K231" s="8" t="s">
        <v>41</v>
      </c>
      <c r="L231" s="8" t="s">
        <v>35</v>
      </c>
      <c r="M231" s="8"/>
      <c r="N231" s="8"/>
      <c r="O231">
        <v>0</v>
      </c>
      <c r="P231">
        <v>1</v>
      </c>
      <c r="Q231">
        <v>0</v>
      </c>
      <c r="R231">
        <v>1</v>
      </c>
      <c r="S231">
        <v>0</v>
      </c>
      <c r="T231">
        <v>0</v>
      </c>
      <c r="U231">
        <v>0</v>
      </c>
      <c r="V231">
        <v>0</v>
      </c>
      <c r="W231" s="8">
        <v>0</v>
      </c>
      <c r="X231">
        <v>0</v>
      </c>
      <c r="Y231">
        <v>0</v>
      </c>
      <c r="Z231" s="8"/>
      <c r="AA231" s="8" t="s">
        <v>102</v>
      </c>
      <c r="AB231" t="s">
        <v>21</v>
      </c>
    </row>
    <row r="232" spans="1:28">
      <c r="A232" s="8">
        <v>2003</v>
      </c>
      <c r="B232" s="8">
        <v>45</v>
      </c>
      <c r="C232" s="8"/>
      <c r="D232" s="8" t="s">
        <v>60</v>
      </c>
      <c r="F232" t="s">
        <v>61</v>
      </c>
      <c r="G232" s="8" t="s">
        <v>35</v>
      </c>
      <c r="I232" s="8" t="s">
        <v>152</v>
      </c>
      <c r="J232" t="s">
        <v>184</v>
      </c>
      <c r="K232" s="8" t="s">
        <v>41</v>
      </c>
      <c r="L232" s="8" t="s">
        <v>35</v>
      </c>
      <c r="M232" s="8"/>
      <c r="N232" s="8"/>
      <c r="O232">
        <v>0</v>
      </c>
      <c r="P232">
        <v>0</v>
      </c>
      <c r="Q232">
        <v>1</v>
      </c>
      <c r="R232">
        <v>1</v>
      </c>
      <c r="S232">
        <v>0</v>
      </c>
      <c r="T232">
        <v>0</v>
      </c>
      <c r="U232">
        <v>0</v>
      </c>
      <c r="V232">
        <v>0</v>
      </c>
      <c r="W232" s="8">
        <v>0</v>
      </c>
      <c r="X232">
        <v>0</v>
      </c>
      <c r="Y232">
        <v>0</v>
      </c>
      <c r="Z232" s="8"/>
      <c r="AA232" s="8" t="s">
        <v>103</v>
      </c>
      <c r="AB232" t="s">
        <v>21</v>
      </c>
    </row>
    <row r="233" spans="1:28">
      <c r="A233" s="8">
        <v>2003</v>
      </c>
      <c r="B233" s="8">
        <v>45</v>
      </c>
      <c r="C233" s="8"/>
      <c r="D233" s="8" t="s">
        <v>60</v>
      </c>
      <c r="F233" t="s">
        <v>61</v>
      </c>
      <c r="G233" s="8" t="s">
        <v>191</v>
      </c>
      <c r="H233" s="8" t="s">
        <v>194</v>
      </c>
      <c r="I233" s="8" t="s">
        <v>152</v>
      </c>
      <c r="J233" s="8" t="s">
        <v>184</v>
      </c>
      <c r="K233" s="8" t="s">
        <v>41</v>
      </c>
      <c r="L233" s="8" t="s">
        <v>35</v>
      </c>
      <c r="M233" s="8"/>
      <c r="N233" s="8"/>
      <c r="O233">
        <v>0</v>
      </c>
      <c r="P233">
        <v>0</v>
      </c>
      <c r="Q233">
        <v>0</v>
      </c>
      <c r="R233">
        <v>1</v>
      </c>
      <c r="S233">
        <v>0</v>
      </c>
      <c r="T233">
        <v>0</v>
      </c>
      <c r="U233">
        <v>0</v>
      </c>
      <c r="V233">
        <v>0</v>
      </c>
      <c r="W233" s="8">
        <v>0</v>
      </c>
      <c r="X233">
        <v>0</v>
      </c>
      <c r="Y233">
        <v>0</v>
      </c>
      <c r="Z233" s="8"/>
      <c r="AA233" s="8" t="s">
        <v>103</v>
      </c>
      <c r="AB233" t="s">
        <v>21</v>
      </c>
    </row>
    <row r="234" spans="1:28">
      <c r="A234" s="8">
        <v>2003</v>
      </c>
      <c r="B234" s="8">
        <v>45</v>
      </c>
      <c r="C234" s="8"/>
      <c r="D234" s="8" t="s">
        <v>60</v>
      </c>
      <c r="F234" t="s">
        <v>61</v>
      </c>
      <c r="G234" s="8" t="s">
        <v>22</v>
      </c>
      <c r="H234" s="8" t="s">
        <v>24</v>
      </c>
      <c r="I234" s="8" t="s">
        <v>152</v>
      </c>
      <c r="J234" s="8" t="s">
        <v>184</v>
      </c>
      <c r="K234" s="8" t="s">
        <v>41</v>
      </c>
      <c r="L234" s="8" t="s">
        <v>35</v>
      </c>
      <c r="M234" s="8"/>
      <c r="N234" s="8"/>
      <c r="O234">
        <v>0</v>
      </c>
      <c r="P234">
        <v>0</v>
      </c>
      <c r="Q234">
        <v>0</v>
      </c>
      <c r="R234">
        <v>1</v>
      </c>
      <c r="S234">
        <v>0</v>
      </c>
      <c r="T234">
        <v>0</v>
      </c>
      <c r="U234">
        <v>0</v>
      </c>
      <c r="V234">
        <v>0</v>
      </c>
      <c r="W234" s="8">
        <v>0</v>
      </c>
      <c r="X234">
        <v>0</v>
      </c>
      <c r="Y234">
        <v>0</v>
      </c>
      <c r="Z234" s="8"/>
      <c r="AA234" s="8" t="s">
        <v>103</v>
      </c>
      <c r="AB234" t="s">
        <v>21</v>
      </c>
    </row>
    <row r="235" spans="1:28">
      <c r="A235" s="8">
        <v>2003</v>
      </c>
      <c r="B235" s="8">
        <v>45</v>
      </c>
      <c r="C235" s="8"/>
      <c r="D235" s="8" t="s">
        <v>60</v>
      </c>
      <c r="F235" t="s">
        <v>61</v>
      </c>
      <c r="G235" s="8" t="s">
        <v>192</v>
      </c>
      <c r="H235" s="8" t="s">
        <v>195</v>
      </c>
      <c r="I235" s="8" t="s">
        <v>152</v>
      </c>
      <c r="J235" s="8" t="s">
        <v>184</v>
      </c>
      <c r="K235" s="8" t="s">
        <v>41</v>
      </c>
      <c r="L235" s="8" t="s">
        <v>35</v>
      </c>
      <c r="M235" s="8"/>
      <c r="N235" s="8"/>
      <c r="O235">
        <v>0</v>
      </c>
      <c r="P235">
        <v>0</v>
      </c>
      <c r="Q235">
        <v>0</v>
      </c>
      <c r="R235">
        <v>1</v>
      </c>
      <c r="S235">
        <v>0</v>
      </c>
      <c r="T235">
        <v>0</v>
      </c>
      <c r="U235">
        <v>0</v>
      </c>
      <c r="V235">
        <v>0</v>
      </c>
      <c r="W235" s="8">
        <v>0</v>
      </c>
      <c r="X235">
        <v>0</v>
      </c>
      <c r="Y235">
        <v>0</v>
      </c>
      <c r="Z235" s="8"/>
      <c r="AA235" s="8" t="s">
        <v>103</v>
      </c>
      <c r="AB235" t="s">
        <v>21</v>
      </c>
    </row>
    <row r="236" spans="1:28">
      <c r="A236" s="8">
        <v>2003</v>
      </c>
      <c r="B236" s="8">
        <v>45</v>
      </c>
      <c r="C236" s="8"/>
      <c r="D236" s="8" t="s">
        <v>60</v>
      </c>
      <c r="F236" t="s">
        <v>61</v>
      </c>
      <c r="G236" s="8" t="s">
        <v>152</v>
      </c>
      <c r="H236" s="8" t="s">
        <v>184</v>
      </c>
      <c r="I236" s="8" t="s">
        <v>152</v>
      </c>
      <c r="J236" s="8" t="s">
        <v>184</v>
      </c>
      <c r="K236" s="8" t="s">
        <v>41</v>
      </c>
      <c r="L236" s="8" t="s">
        <v>35</v>
      </c>
      <c r="M236" s="8"/>
      <c r="N236" s="8"/>
      <c r="O236">
        <v>0</v>
      </c>
      <c r="P236">
        <v>0</v>
      </c>
      <c r="Q236">
        <v>1</v>
      </c>
      <c r="R236">
        <v>1</v>
      </c>
      <c r="S236">
        <v>0</v>
      </c>
      <c r="T236">
        <v>0</v>
      </c>
      <c r="U236">
        <v>0</v>
      </c>
      <c r="V236">
        <v>0</v>
      </c>
      <c r="W236" s="8">
        <v>0</v>
      </c>
      <c r="X236">
        <v>0</v>
      </c>
      <c r="Y236">
        <v>0</v>
      </c>
      <c r="Z236" s="8"/>
      <c r="AA236" s="8" t="s">
        <v>103</v>
      </c>
      <c r="AB236" t="s">
        <v>21</v>
      </c>
    </row>
    <row r="237" spans="1:28">
      <c r="A237" s="8">
        <v>2003</v>
      </c>
      <c r="B237" s="8">
        <v>45</v>
      </c>
      <c r="C237" s="8"/>
      <c r="D237" s="8" t="s">
        <v>60</v>
      </c>
      <c r="F237" t="s">
        <v>61</v>
      </c>
      <c r="G237" s="8" t="s">
        <v>202</v>
      </c>
      <c r="H237" s="8" t="s">
        <v>205</v>
      </c>
      <c r="I237" s="8" t="s">
        <v>152</v>
      </c>
      <c r="J237" s="8" t="s">
        <v>184</v>
      </c>
      <c r="K237" s="8" t="s">
        <v>41</v>
      </c>
      <c r="L237" s="8" t="s">
        <v>35</v>
      </c>
      <c r="M237" s="8"/>
      <c r="N237" s="8"/>
      <c r="O237">
        <v>0</v>
      </c>
      <c r="P237">
        <v>0</v>
      </c>
      <c r="Q237">
        <v>0</v>
      </c>
      <c r="R237">
        <v>1</v>
      </c>
      <c r="S237">
        <v>0</v>
      </c>
      <c r="T237">
        <v>0</v>
      </c>
      <c r="U237">
        <v>0</v>
      </c>
      <c r="V237">
        <v>0</v>
      </c>
      <c r="W237" s="8">
        <v>0</v>
      </c>
      <c r="X237">
        <v>0</v>
      </c>
      <c r="Y237">
        <v>0</v>
      </c>
      <c r="Z237" s="8"/>
      <c r="AA237" s="8" t="s">
        <v>103</v>
      </c>
      <c r="AB237" t="s">
        <v>21</v>
      </c>
    </row>
    <row r="238" spans="1:28">
      <c r="A238" s="8">
        <v>2003</v>
      </c>
      <c r="B238" s="8">
        <v>45</v>
      </c>
      <c r="C238" s="8"/>
      <c r="D238" s="8" t="s">
        <v>60</v>
      </c>
      <c r="F238" t="s">
        <v>61</v>
      </c>
      <c r="G238" s="8" t="s">
        <v>193</v>
      </c>
      <c r="H238" s="8" t="s">
        <v>185</v>
      </c>
      <c r="I238" s="8" t="s">
        <v>152</v>
      </c>
      <c r="J238" s="8" t="s">
        <v>184</v>
      </c>
      <c r="K238" s="8" t="s">
        <v>41</v>
      </c>
      <c r="L238" s="8" t="s">
        <v>35</v>
      </c>
      <c r="M238" s="8"/>
      <c r="N238" s="8"/>
      <c r="O238">
        <v>0</v>
      </c>
      <c r="P238">
        <v>0</v>
      </c>
      <c r="Q238">
        <v>0</v>
      </c>
      <c r="R238">
        <v>1</v>
      </c>
      <c r="S238">
        <v>0</v>
      </c>
      <c r="T238">
        <v>0</v>
      </c>
      <c r="U238">
        <v>0</v>
      </c>
      <c r="V238">
        <v>0</v>
      </c>
      <c r="W238" s="8">
        <v>0</v>
      </c>
      <c r="X238">
        <v>0</v>
      </c>
      <c r="Y238">
        <v>0</v>
      </c>
      <c r="Z238" s="8"/>
      <c r="AA238" s="8" t="s">
        <v>103</v>
      </c>
      <c r="AB238" t="s">
        <v>21</v>
      </c>
    </row>
    <row r="239" spans="1:28">
      <c r="A239" s="8">
        <v>2003</v>
      </c>
      <c r="B239" s="8">
        <v>45</v>
      </c>
      <c r="C239" s="8"/>
      <c r="D239" s="8" t="s">
        <v>60</v>
      </c>
      <c r="F239" t="s">
        <v>61</v>
      </c>
      <c r="G239" s="8" t="s">
        <v>203</v>
      </c>
      <c r="H239" s="8" t="s">
        <v>206</v>
      </c>
      <c r="I239" s="8" t="s">
        <v>152</v>
      </c>
      <c r="J239" s="8" t="s">
        <v>184</v>
      </c>
      <c r="K239" s="8" t="s">
        <v>41</v>
      </c>
      <c r="L239" s="8" t="s">
        <v>35</v>
      </c>
      <c r="M239" s="8"/>
      <c r="N239" s="8"/>
      <c r="O239">
        <v>0</v>
      </c>
      <c r="P239">
        <v>0</v>
      </c>
      <c r="Q239">
        <v>0</v>
      </c>
      <c r="R239">
        <v>1</v>
      </c>
      <c r="S239">
        <v>0</v>
      </c>
      <c r="T239">
        <v>0</v>
      </c>
      <c r="U239">
        <v>0</v>
      </c>
      <c r="V239">
        <v>0</v>
      </c>
      <c r="W239" s="8">
        <v>0</v>
      </c>
      <c r="X239">
        <v>0</v>
      </c>
      <c r="Y239">
        <v>0</v>
      </c>
      <c r="Z239" s="8"/>
      <c r="AA239" s="8" t="s">
        <v>103</v>
      </c>
      <c r="AB239" t="s">
        <v>21</v>
      </c>
    </row>
    <row r="240" spans="1:28">
      <c r="A240" s="8">
        <v>2003</v>
      </c>
      <c r="B240" s="8">
        <v>45</v>
      </c>
      <c r="C240" s="8"/>
      <c r="D240" s="8" t="s">
        <v>60</v>
      </c>
      <c r="F240" t="s">
        <v>61</v>
      </c>
      <c r="G240" s="8" t="s">
        <v>204</v>
      </c>
      <c r="H240" s="8" t="s">
        <v>207</v>
      </c>
      <c r="I240" s="8" t="s">
        <v>152</v>
      </c>
      <c r="J240" s="8" t="s">
        <v>184</v>
      </c>
      <c r="K240" s="8" t="s">
        <v>41</v>
      </c>
      <c r="L240" s="8" t="s">
        <v>35</v>
      </c>
      <c r="M240" s="8"/>
      <c r="N240" s="8"/>
      <c r="O240">
        <v>0</v>
      </c>
      <c r="P240">
        <v>0</v>
      </c>
      <c r="Q240">
        <v>0</v>
      </c>
      <c r="R240">
        <v>1</v>
      </c>
      <c r="S240">
        <v>0</v>
      </c>
      <c r="T240">
        <v>0</v>
      </c>
      <c r="U240">
        <v>0</v>
      </c>
      <c r="V240">
        <v>0</v>
      </c>
      <c r="W240" s="8">
        <v>0</v>
      </c>
      <c r="X240">
        <v>0</v>
      </c>
      <c r="Y240">
        <v>0</v>
      </c>
      <c r="Z240" s="8"/>
      <c r="AA240" s="8" t="s">
        <v>103</v>
      </c>
      <c r="AB240" t="s">
        <v>21</v>
      </c>
    </row>
    <row r="241" spans="1:30">
      <c r="A241" s="8">
        <v>2003</v>
      </c>
      <c r="B241" s="8">
        <v>45</v>
      </c>
      <c r="C241" s="8"/>
      <c r="D241" s="8" t="s">
        <v>60</v>
      </c>
      <c r="F241" t="s">
        <v>61</v>
      </c>
      <c r="G241" s="8" t="s">
        <v>298</v>
      </c>
      <c r="H241" s="8"/>
      <c r="I241" s="8" t="s">
        <v>152</v>
      </c>
      <c r="J241" s="8" t="s">
        <v>184</v>
      </c>
      <c r="K241" s="8" t="s">
        <v>41</v>
      </c>
      <c r="L241" s="8" t="s">
        <v>35</v>
      </c>
      <c r="M241" s="8"/>
      <c r="N241" s="8"/>
      <c r="O241">
        <v>0</v>
      </c>
      <c r="P241">
        <v>0</v>
      </c>
      <c r="Q241">
        <v>0</v>
      </c>
      <c r="R241">
        <v>1</v>
      </c>
      <c r="S241">
        <v>0</v>
      </c>
      <c r="T241">
        <v>0</v>
      </c>
      <c r="U241">
        <v>0</v>
      </c>
      <c r="V241">
        <v>0</v>
      </c>
      <c r="W241" s="8">
        <v>0</v>
      </c>
      <c r="X241">
        <v>0</v>
      </c>
      <c r="Y241">
        <v>0</v>
      </c>
      <c r="Z241" s="8"/>
      <c r="AA241" s="8" t="s">
        <v>103</v>
      </c>
      <c r="AB241" t="s">
        <v>21</v>
      </c>
      <c r="AC241" t="s">
        <v>302</v>
      </c>
      <c r="AD241" t="s">
        <v>303</v>
      </c>
    </row>
    <row r="242" spans="1:30">
      <c r="A242" s="8">
        <v>2003</v>
      </c>
      <c r="B242" s="8">
        <v>46</v>
      </c>
      <c r="C242" s="8"/>
      <c r="D242" s="8" t="s">
        <v>60</v>
      </c>
      <c r="F242" t="s">
        <v>61</v>
      </c>
      <c r="G242" s="8" t="s">
        <v>35</v>
      </c>
      <c r="I242" s="8" t="s">
        <v>152</v>
      </c>
      <c r="J242" t="s">
        <v>184</v>
      </c>
      <c r="K242" s="8" t="s">
        <v>41</v>
      </c>
      <c r="L242" s="8" t="s">
        <v>35</v>
      </c>
      <c r="M242" s="8"/>
      <c r="N242" s="8"/>
      <c r="O242">
        <v>0</v>
      </c>
      <c r="P242">
        <v>1</v>
      </c>
      <c r="Q242">
        <v>1</v>
      </c>
      <c r="R242">
        <v>0</v>
      </c>
      <c r="S242">
        <v>0</v>
      </c>
      <c r="T242">
        <v>0</v>
      </c>
      <c r="U242">
        <v>0</v>
      </c>
      <c r="V242">
        <v>0</v>
      </c>
      <c r="W242" s="8">
        <v>0</v>
      </c>
      <c r="X242">
        <v>0</v>
      </c>
      <c r="Y242">
        <v>0</v>
      </c>
      <c r="Z242" s="8"/>
      <c r="AA242" s="8" t="s">
        <v>104</v>
      </c>
      <c r="AB242" t="s">
        <v>21</v>
      </c>
    </row>
    <row r="243" spans="1:30">
      <c r="A243" s="8">
        <v>2003</v>
      </c>
      <c r="B243" s="8">
        <v>46</v>
      </c>
      <c r="C243" s="8"/>
      <c r="D243" s="8" t="s">
        <v>60</v>
      </c>
      <c r="F243" t="s">
        <v>61</v>
      </c>
      <c r="G243" s="8" t="s">
        <v>191</v>
      </c>
      <c r="H243" s="8" t="s">
        <v>194</v>
      </c>
      <c r="I243" s="8" t="s">
        <v>152</v>
      </c>
      <c r="J243" s="8" t="s">
        <v>184</v>
      </c>
      <c r="K243" s="8" t="s">
        <v>41</v>
      </c>
      <c r="L243" s="8" t="s">
        <v>35</v>
      </c>
      <c r="M243" s="8"/>
      <c r="N243" s="8"/>
      <c r="O243">
        <v>0</v>
      </c>
      <c r="P243">
        <v>1</v>
      </c>
      <c r="Q243">
        <v>0</v>
      </c>
      <c r="R243">
        <v>0</v>
      </c>
      <c r="S243">
        <v>0</v>
      </c>
      <c r="T243">
        <v>0</v>
      </c>
      <c r="U243">
        <v>0</v>
      </c>
      <c r="V243">
        <v>0</v>
      </c>
      <c r="W243" s="8">
        <v>0</v>
      </c>
      <c r="X243">
        <v>0</v>
      </c>
      <c r="Y243">
        <v>0</v>
      </c>
      <c r="Z243" s="8"/>
      <c r="AA243" s="8" t="s">
        <v>104</v>
      </c>
      <c r="AB243" t="s">
        <v>21</v>
      </c>
    </row>
    <row r="244" spans="1:30">
      <c r="A244" s="8">
        <v>2003</v>
      </c>
      <c r="B244" s="8">
        <v>46</v>
      </c>
      <c r="C244" s="8"/>
      <c r="D244" s="8" t="s">
        <v>60</v>
      </c>
      <c r="F244" t="s">
        <v>61</v>
      </c>
      <c r="G244" s="8" t="s">
        <v>22</v>
      </c>
      <c r="H244" s="8" t="s">
        <v>24</v>
      </c>
      <c r="I244" s="8" t="s">
        <v>152</v>
      </c>
      <c r="J244" s="8" t="s">
        <v>184</v>
      </c>
      <c r="K244" s="8" t="s">
        <v>41</v>
      </c>
      <c r="L244" s="8" t="s">
        <v>35</v>
      </c>
      <c r="M244" s="8"/>
      <c r="N244" s="8"/>
      <c r="O244">
        <v>0</v>
      </c>
      <c r="P244">
        <v>1</v>
      </c>
      <c r="Q244">
        <v>0</v>
      </c>
      <c r="R244">
        <v>0</v>
      </c>
      <c r="S244">
        <v>0</v>
      </c>
      <c r="T244">
        <v>0</v>
      </c>
      <c r="U244">
        <v>0</v>
      </c>
      <c r="V244">
        <v>0</v>
      </c>
      <c r="W244" s="8">
        <v>0</v>
      </c>
      <c r="X244">
        <v>0</v>
      </c>
      <c r="Y244">
        <v>0</v>
      </c>
      <c r="Z244" s="8"/>
      <c r="AA244" s="8" t="s">
        <v>104</v>
      </c>
      <c r="AB244" t="s">
        <v>21</v>
      </c>
    </row>
    <row r="245" spans="1:30">
      <c r="A245" s="8">
        <v>2003</v>
      </c>
      <c r="B245" s="8">
        <v>46</v>
      </c>
      <c r="C245" s="8"/>
      <c r="D245" s="8" t="s">
        <v>60</v>
      </c>
      <c r="F245" t="s">
        <v>61</v>
      </c>
      <c r="G245" s="8" t="s">
        <v>192</v>
      </c>
      <c r="H245" s="8" t="s">
        <v>195</v>
      </c>
      <c r="I245" s="8" t="s">
        <v>152</v>
      </c>
      <c r="J245" s="8" t="s">
        <v>184</v>
      </c>
      <c r="K245" s="8" t="s">
        <v>41</v>
      </c>
      <c r="L245" s="8" t="s">
        <v>35</v>
      </c>
      <c r="M245" s="8"/>
      <c r="N245" s="8"/>
      <c r="O245">
        <v>0</v>
      </c>
      <c r="P245">
        <v>1</v>
      </c>
      <c r="Q245">
        <v>0</v>
      </c>
      <c r="R245">
        <v>0</v>
      </c>
      <c r="S245">
        <v>0</v>
      </c>
      <c r="T245">
        <v>0</v>
      </c>
      <c r="U245">
        <v>0</v>
      </c>
      <c r="V245">
        <v>0</v>
      </c>
      <c r="W245" s="8">
        <v>0</v>
      </c>
      <c r="X245">
        <v>0</v>
      </c>
      <c r="Y245">
        <v>0</v>
      </c>
      <c r="Z245" s="8"/>
      <c r="AA245" s="8" t="s">
        <v>104</v>
      </c>
      <c r="AB245" t="s">
        <v>21</v>
      </c>
    </row>
    <row r="246" spans="1:30">
      <c r="A246" s="8">
        <v>2003</v>
      </c>
      <c r="B246" s="8">
        <v>46</v>
      </c>
      <c r="C246" s="8"/>
      <c r="D246" s="8" t="s">
        <v>60</v>
      </c>
      <c r="F246" t="s">
        <v>61</v>
      </c>
      <c r="G246" s="8" t="s">
        <v>152</v>
      </c>
      <c r="H246" s="8" t="s">
        <v>184</v>
      </c>
      <c r="I246" s="8" t="s">
        <v>152</v>
      </c>
      <c r="J246" s="8" t="s">
        <v>184</v>
      </c>
      <c r="K246" s="8" t="s">
        <v>41</v>
      </c>
      <c r="L246" s="8" t="s">
        <v>35</v>
      </c>
      <c r="M246" s="8"/>
      <c r="N246" s="8"/>
      <c r="O246">
        <v>0</v>
      </c>
      <c r="P246">
        <v>1</v>
      </c>
      <c r="Q246">
        <v>1</v>
      </c>
      <c r="R246">
        <v>0</v>
      </c>
      <c r="S246">
        <v>0</v>
      </c>
      <c r="T246">
        <v>0</v>
      </c>
      <c r="U246">
        <v>0</v>
      </c>
      <c r="V246">
        <v>0</v>
      </c>
      <c r="W246" s="8">
        <v>0</v>
      </c>
      <c r="X246">
        <v>0</v>
      </c>
      <c r="Y246">
        <v>0</v>
      </c>
      <c r="Z246" s="8"/>
      <c r="AA246" s="8" t="s">
        <v>104</v>
      </c>
      <c r="AB246" t="s">
        <v>21</v>
      </c>
    </row>
    <row r="247" spans="1:30">
      <c r="A247" s="8">
        <v>2003</v>
      </c>
      <c r="B247" s="8">
        <v>46</v>
      </c>
      <c r="C247" s="8"/>
      <c r="D247" s="8" t="s">
        <v>60</v>
      </c>
      <c r="F247" t="s">
        <v>61</v>
      </c>
      <c r="G247" s="8" t="s">
        <v>202</v>
      </c>
      <c r="H247" s="8" t="s">
        <v>205</v>
      </c>
      <c r="I247" s="8" t="s">
        <v>152</v>
      </c>
      <c r="J247" s="8" t="s">
        <v>184</v>
      </c>
      <c r="K247" s="8" t="s">
        <v>41</v>
      </c>
      <c r="L247" s="8" t="s">
        <v>35</v>
      </c>
      <c r="M247" s="8"/>
      <c r="N247" s="8"/>
      <c r="O247">
        <v>0</v>
      </c>
      <c r="P247">
        <v>1</v>
      </c>
      <c r="Q247">
        <v>0</v>
      </c>
      <c r="R247">
        <v>0</v>
      </c>
      <c r="S247">
        <v>0</v>
      </c>
      <c r="T247">
        <v>0</v>
      </c>
      <c r="U247">
        <v>0</v>
      </c>
      <c r="V247">
        <v>0</v>
      </c>
      <c r="W247" s="8">
        <v>0</v>
      </c>
      <c r="X247">
        <v>0</v>
      </c>
      <c r="Y247">
        <v>0</v>
      </c>
      <c r="Z247" s="8"/>
      <c r="AA247" s="8" t="s">
        <v>104</v>
      </c>
      <c r="AB247" t="s">
        <v>21</v>
      </c>
    </row>
    <row r="248" spans="1:30">
      <c r="A248" s="8">
        <v>2003</v>
      </c>
      <c r="B248" s="8">
        <v>46</v>
      </c>
      <c r="C248" s="8"/>
      <c r="D248" s="8" t="s">
        <v>60</v>
      </c>
      <c r="F248" t="s">
        <v>61</v>
      </c>
      <c r="G248" s="8" t="s">
        <v>193</v>
      </c>
      <c r="H248" s="8" t="s">
        <v>185</v>
      </c>
      <c r="I248" s="8" t="s">
        <v>152</v>
      </c>
      <c r="J248" s="8" t="s">
        <v>184</v>
      </c>
      <c r="K248" s="8" t="s">
        <v>41</v>
      </c>
      <c r="L248" s="8" t="s">
        <v>35</v>
      </c>
      <c r="M248" s="8"/>
      <c r="N248" s="8"/>
      <c r="O248">
        <v>0</v>
      </c>
      <c r="P248">
        <v>1</v>
      </c>
      <c r="Q248">
        <v>0</v>
      </c>
      <c r="R248">
        <v>0</v>
      </c>
      <c r="S248">
        <v>0</v>
      </c>
      <c r="T248">
        <v>0</v>
      </c>
      <c r="U248">
        <v>0</v>
      </c>
      <c r="V248">
        <v>0</v>
      </c>
      <c r="W248" s="8">
        <v>0</v>
      </c>
      <c r="X248">
        <v>0</v>
      </c>
      <c r="Y248">
        <v>0</v>
      </c>
      <c r="Z248" s="8"/>
      <c r="AA248" s="8" t="s">
        <v>104</v>
      </c>
      <c r="AB248" t="s">
        <v>21</v>
      </c>
    </row>
    <row r="249" spans="1:30">
      <c r="A249" s="8">
        <v>2003</v>
      </c>
      <c r="B249" s="8">
        <v>46</v>
      </c>
      <c r="C249" s="8"/>
      <c r="D249" s="8" t="s">
        <v>60</v>
      </c>
      <c r="F249" t="s">
        <v>61</v>
      </c>
      <c r="G249" s="8" t="s">
        <v>203</v>
      </c>
      <c r="H249" s="8" t="s">
        <v>206</v>
      </c>
      <c r="I249" s="8" t="s">
        <v>152</v>
      </c>
      <c r="J249" s="8" t="s">
        <v>184</v>
      </c>
      <c r="K249" s="8" t="s">
        <v>41</v>
      </c>
      <c r="L249" s="8" t="s">
        <v>35</v>
      </c>
      <c r="M249" s="8"/>
      <c r="N249" s="8"/>
      <c r="O249">
        <v>0</v>
      </c>
      <c r="P249">
        <v>1</v>
      </c>
      <c r="Q249">
        <v>0</v>
      </c>
      <c r="R249">
        <v>0</v>
      </c>
      <c r="S249">
        <v>0</v>
      </c>
      <c r="T249">
        <v>0</v>
      </c>
      <c r="U249">
        <v>0</v>
      </c>
      <c r="V249">
        <v>0</v>
      </c>
      <c r="W249" s="8">
        <v>0</v>
      </c>
      <c r="X249">
        <v>0</v>
      </c>
      <c r="Y249">
        <v>0</v>
      </c>
      <c r="Z249" s="8"/>
      <c r="AA249" s="8" t="s">
        <v>104</v>
      </c>
      <c r="AB249" t="s">
        <v>21</v>
      </c>
    </row>
    <row r="250" spans="1:30">
      <c r="A250" s="8">
        <v>2003</v>
      </c>
      <c r="B250" s="8">
        <v>46</v>
      </c>
      <c r="C250" s="8"/>
      <c r="D250" s="8" t="s">
        <v>60</v>
      </c>
      <c r="F250" t="s">
        <v>61</v>
      </c>
      <c r="G250" s="8" t="s">
        <v>204</v>
      </c>
      <c r="H250" s="8" t="s">
        <v>207</v>
      </c>
      <c r="I250" s="8" t="s">
        <v>152</v>
      </c>
      <c r="J250" s="8" t="s">
        <v>184</v>
      </c>
      <c r="K250" s="8" t="s">
        <v>41</v>
      </c>
      <c r="L250" s="8" t="s">
        <v>35</v>
      </c>
      <c r="M250" s="8"/>
      <c r="N250" s="8"/>
      <c r="O250">
        <v>0</v>
      </c>
      <c r="P250">
        <v>1</v>
      </c>
      <c r="Q250">
        <v>0</v>
      </c>
      <c r="R250">
        <v>0</v>
      </c>
      <c r="S250">
        <v>0</v>
      </c>
      <c r="T250">
        <v>0</v>
      </c>
      <c r="U250">
        <v>0</v>
      </c>
      <c r="V250">
        <v>0</v>
      </c>
      <c r="W250" s="8">
        <v>0</v>
      </c>
      <c r="X250">
        <v>0</v>
      </c>
      <c r="Y250">
        <v>0</v>
      </c>
      <c r="Z250" s="8"/>
      <c r="AA250" s="8" t="s">
        <v>104</v>
      </c>
      <c r="AB250" t="s">
        <v>21</v>
      </c>
    </row>
    <row r="251" spans="1:30">
      <c r="A251" s="8">
        <v>2003</v>
      </c>
      <c r="B251" s="8">
        <v>47</v>
      </c>
      <c r="C251" s="8"/>
      <c r="D251" s="8" t="s">
        <v>60</v>
      </c>
      <c r="E251" s="8" t="s">
        <v>209</v>
      </c>
      <c r="F251" t="s">
        <v>61</v>
      </c>
      <c r="G251" s="8" t="s">
        <v>162</v>
      </c>
      <c r="I251" s="8" t="s">
        <v>60</v>
      </c>
      <c r="J251" s="8" t="s">
        <v>61</v>
      </c>
      <c r="K251" s="8" t="s">
        <v>201</v>
      </c>
      <c r="L251" s="8" t="s">
        <v>162</v>
      </c>
      <c r="M251" s="8"/>
      <c r="N251" s="8"/>
      <c r="O251">
        <v>0</v>
      </c>
      <c r="P251">
        <v>1</v>
      </c>
      <c r="Q251">
        <v>0</v>
      </c>
      <c r="R251">
        <v>1</v>
      </c>
      <c r="S251">
        <v>0</v>
      </c>
      <c r="T251">
        <v>0</v>
      </c>
      <c r="U251">
        <v>0</v>
      </c>
      <c r="V251">
        <v>0</v>
      </c>
      <c r="W251" s="8">
        <v>0</v>
      </c>
      <c r="X251">
        <v>0</v>
      </c>
      <c r="Y251">
        <v>0</v>
      </c>
      <c r="Z251" s="8"/>
      <c r="AA251" s="8" t="s">
        <v>141</v>
      </c>
      <c r="AB251" t="s">
        <v>21</v>
      </c>
    </row>
    <row r="252" spans="1:30">
      <c r="A252" s="8">
        <v>2003</v>
      </c>
      <c r="B252" s="8">
        <v>48</v>
      </c>
      <c r="C252" s="8"/>
      <c r="D252" s="8" t="s">
        <v>60</v>
      </c>
      <c r="E252" s="8" t="s">
        <v>209</v>
      </c>
      <c r="F252" t="s">
        <v>61</v>
      </c>
      <c r="G252" s="8" t="s">
        <v>156</v>
      </c>
      <c r="H252" s="8" t="s">
        <v>189</v>
      </c>
      <c r="I252" s="8" t="s">
        <v>156</v>
      </c>
      <c r="J252" t="s">
        <v>189</v>
      </c>
      <c r="K252" s="8" t="s">
        <v>65</v>
      </c>
      <c r="L252" s="8" t="s">
        <v>156</v>
      </c>
      <c r="M252" s="8"/>
      <c r="N252" s="8"/>
      <c r="O252">
        <v>0</v>
      </c>
      <c r="P252">
        <v>1</v>
      </c>
      <c r="Q252">
        <v>1</v>
      </c>
      <c r="R252">
        <v>0</v>
      </c>
      <c r="S252">
        <v>0</v>
      </c>
      <c r="T252">
        <v>0</v>
      </c>
      <c r="U252">
        <v>1</v>
      </c>
      <c r="V252">
        <v>0</v>
      </c>
      <c r="W252" s="8">
        <v>1</v>
      </c>
      <c r="X252" s="8">
        <v>0</v>
      </c>
      <c r="Y252" s="8">
        <v>1</v>
      </c>
      <c r="Z252" s="8" t="s">
        <v>181</v>
      </c>
      <c r="AA252" s="8" t="s">
        <v>142</v>
      </c>
      <c r="AB252" t="s">
        <v>21</v>
      </c>
      <c r="AC252" s="10" t="s">
        <v>308</v>
      </c>
      <c r="AD252" t="s">
        <v>309</v>
      </c>
    </row>
    <row r="253" spans="1:30">
      <c r="A253" s="8">
        <v>2003</v>
      </c>
      <c r="B253" s="8">
        <v>49</v>
      </c>
      <c r="C253" s="8"/>
      <c r="D253" s="8" t="s">
        <v>60</v>
      </c>
      <c r="E253" s="8" t="s">
        <v>209</v>
      </c>
      <c r="F253" t="s">
        <v>61</v>
      </c>
      <c r="G253" s="8" t="s">
        <v>156</v>
      </c>
      <c r="H253" s="8" t="s">
        <v>189</v>
      </c>
      <c r="I253" s="8" t="s">
        <v>156</v>
      </c>
      <c r="J253" t="s">
        <v>189</v>
      </c>
      <c r="K253" s="8" t="s">
        <v>65</v>
      </c>
      <c r="L253" s="8" t="s">
        <v>156</v>
      </c>
      <c r="M253" s="8"/>
      <c r="N253" s="8"/>
      <c r="O253">
        <v>0</v>
      </c>
      <c r="P253">
        <v>1</v>
      </c>
      <c r="Q253">
        <v>1</v>
      </c>
      <c r="R253">
        <v>0</v>
      </c>
      <c r="S253">
        <v>0</v>
      </c>
      <c r="T253">
        <v>0</v>
      </c>
      <c r="U253">
        <v>0</v>
      </c>
      <c r="V253">
        <v>0</v>
      </c>
      <c r="W253" s="8">
        <v>0</v>
      </c>
      <c r="X253">
        <v>0</v>
      </c>
      <c r="Y253">
        <v>0</v>
      </c>
      <c r="Z253" s="8"/>
      <c r="AA253" s="8" t="s">
        <v>143</v>
      </c>
      <c r="AB253" t="s">
        <v>21</v>
      </c>
    </row>
    <row r="254" spans="1:30">
      <c r="A254" s="8">
        <v>2003</v>
      </c>
      <c r="B254" s="8">
        <v>50</v>
      </c>
      <c r="C254" s="8"/>
      <c r="D254" s="8" t="s">
        <v>60</v>
      </c>
      <c r="E254" s="8" t="s">
        <v>209</v>
      </c>
      <c r="F254" t="s">
        <v>61</v>
      </c>
      <c r="G254" s="8" t="s">
        <v>156</v>
      </c>
      <c r="H254" s="8" t="s">
        <v>189</v>
      </c>
      <c r="I254" s="8" t="s">
        <v>156</v>
      </c>
      <c r="J254" t="s">
        <v>189</v>
      </c>
      <c r="K254" s="8" t="s">
        <v>65</v>
      </c>
      <c r="L254" s="8" t="s">
        <v>156</v>
      </c>
      <c r="M254" s="8"/>
      <c r="N254" s="8"/>
      <c r="O254">
        <v>0</v>
      </c>
      <c r="P254">
        <v>1</v>
      </c>
      <c r="Q254">
        <v>1</v>
      </c>
      <c r="R254">
        <v>1</v>
      </c>
      <c r="S254">
        <v>0</v>
      </c>
      <c r="T254">
        <v>0</v>
      </c>
      <c r="U254">
        <v>0</v>
      </c>
      <c r="V254">
        <v>0</v>
      </c>
      <c r="W254" s="8">
        <v>0</v>
      </c>
      <c r="X254">
        <v>0</v>
      </c>
      <c r="Y254">
        <v>0</v>
      </c>
      <c r="Z254" s="8"/>
      <c r="AA254" s="8" t="s">
        <v>144</v>
      </c>
      <c r="AB254" t="s">
        <v>21</v>
      </c>
    </row>
    <row r="255" spans="1:30">
      <c r="A255" s="8">
        <v>2003</v>
      </c>
      <c r="B255" s="8">
        <v>51</v>
      </c>
      <c r="C255" s="8"/>
      <c r="D255" s="8" t="s">
        <v>60</v>
      </c>
      <c r="E255" s="8"/>
      <c r="F255" t="s">
        <v>61</v>
      </c>
      <c r="G255" s="8" t="s">
        <v>156</v>
      </c>
      <c r="H255" s="8" t="s">
        <v>189</v>
      </c>
      <c r="I255" s="8" t="s">
        <v>156</v>
      </c>
      <c r="J255" t="s">
        <v>189</v>
      </c>
      <c r="K255" s="8" t="s">
        <v>65</v>
      </c>
      <c r="L255" s="8" t="s">
        <v>156</v>
      </c>
      <c r="M255" s="8"/>
      <c r="N255" s="8"/>
      <c r="O255">
        <v>1</v>
      </c>
      <c r="P255">
        <v>0</v>
      </c>
      <c r="Q255">
        <v>1</v>
      </c>
      <c r="R255">
        <v>0</v>
      </c>
      <c r="S255">
        <v>0</v>
      </c>
      <c r="T255">
        <v>0</v>
      </c>
      <c r="U255">
        <v>0</v>
      </c>
      <c r="V255">
        <v>0</v>
      </c>
      <c r="W255" s="8">
        <v>0</v>
      </c>
      <c r="X255">
        <v>0</v>
      </c>
      <c r="Y255">
        <v>0</v>
      </c>
      <c r="Z255" s="8"/>
      <c r="AA255" s="8" t="s">
        <v>145</v>
      </c>
      <c r="AB255" t="s">
        <v>21</v>
      </c>
    </row>
    <row r="256" spans="1:30">
      <c r="A256" s="8">
        <v>2003</v>
      </c>
      <c r="B256" s="8">
        <v>52</v>
      </c>
      <c r="C256" s="8"/>
      <c r="D256" s="8" t="s">
        <v>60</v>
      </c>
      <c r="E256" s="8"/>
      <c r="F256" t="s">
        <v>61</v>
      </c>
      <c r="G256" s="8" t="s">
        <v>155</v>
      </c>
      <c r="H256" s="8" t="s">
        <v>188</v>
      </c>
      <c r="I256" s="8" t="s">
        <v>155</v>
      </c>
      <c r="J256" t="s">
        <v>188</v>
      </c>
      <c r="K256" s="8" t="s">
        <v>65</v>
      </c>
      <c r="L256" s="8" t="s">
        <v>155</v>
      </c>
      <c r="M256" s="8"/>
      <c r="N256" s="8"/>
      <c r="O256">
        <v>0</v>
      </c>
      <c r="P256" s="8">
        <v>1</v>
      </c>
      <c r="Q256">
        <v>0</v>
      </c>
      <c r="R256">
        <v>0</v>
      </c>
      <c r="S256">
        <v>0</v>
      </c>
      <c r="T256">
        <v>0</v>
      </c>
      <c r="U256">
        <v>0</v>
      </c>
      <c r="V256">
        <v>0</v>
      </c>
      <c r="W256" s="8">
        <v>0</v>
      </c>
      <c r="X256">
        <v>0</v>
      </c>
      <c r="Y256">
        <v>0</v>
      </c>
      <c r="Z256" s="8"/>
      <c r="AA256" s="8" t="s">
        <v>117</v>
      </c>
      <c r="AB256" t="s">
        <v>21</v>
      </c>
    </row>
    <row r="257" spans="1:32">
      <c r="A257" s="8">
        <v>2004</v>
      </c>
      <c r="B257" s="8">
        <v>53</v>
      </c>
      <c r="C257" s="8"/>
      <c r="D257" s="8" t="s">
        <v>60</v>
      </c>
      <c r="E257" s="8" t="s">
        <v>209</v>
      </c>
      <c r="F257" t="s">
        <v>61</v>
      </c>
      <c r="G257" s="8" t="s">
        <v>156</v>
      </c>
      <c r="H257" s="8" t="s">
        <v>189</v>
      </c>
      <c r="I257" s="8" t="s">
        <v>156</v>
      </c>
      <c r="J257" t="s">
        <v>189</v>
      </c>
      <c r="K257" s="8" t="s">
        <v>65</v>
      </c>
      <c r="L257" s="8" t="s">
        <v>156</v>
      </c>
      <c r="M257" s="8"/>
      <c r="N257" s="8"/>
      <c r="O257">
        <v>1</v>
      </c>
      <c r="P257">
        <v>1</v>
      </c>
      <c r="Q257">
        <v>1</v>
      </c>
      <c r="R257">
        <v>0</v>
      </c>
      <c r="S257">
        <v>0</v>
      </c>
      <c r="T257">
        <v>0</v>
      </c>
      <c r="U257">
        <v>0</v>
      </c>
      <c r="V257">
        <v>0</v>
      </c>
      <c r="W257" s="8">
        <v>0</v>
      </c>
      <c r="X257">
        <v>0</v>
      </c>
      <c r="Y257">
        <v>0</v>
      </c>
      <c r="Z257" s="8"/>
      <c r="AA257" s="8" t="s">
        <v>122</v>
      </c>
      <c r="AB257" t="s">
        <v>21</v>
      </c>
    </row>
    <row r="258" spans="1:32">
      <c r="A258" s="8">
        <v>2004</v>
      </c>
      <c r="B258" s="8">
        <v>54</v>
      </c>
      <c r="C258" s="8"/>
      <c r="D258" s="8" t="s">
        <v>60</v>
      </c>
      <c r="E258" s="8" t="s">
        <v>209</v>
      </c>
      <c r="F258" t="s">
        <v>61</v>
      </c>
      <c r="G258" s="8" t="s">
        <v>26</v>
      </c>
      <c r="I258" s="8"/>
      <c r="K258" t="s">
        <v>25</v>
      </c>
      <c r="L258" s="8" t="s">
        <v>26</v>
      </c>
      <c r="M258" s="8"/>
      <c r="N258" s="8"/>
      <c r="O258">
        <v>1</v>
      </c>
      <c r="P258">
        <v>0</v>
      </c>
      <c r="Q258">
        <v>0</v>
      </c>
      <c r="R258">
        <v>0</v>
      </c>
      <c r="S258">
        <v>0</v>
      </c>
      <c r="T258">
        <v>0</v>
      </c>
      <c r="U258">
        <v>0</v>
      </c>
      <c r="V258">
        <v>0</v>
      </c>
      <c r="W258" s="8">
        <v>0</v>
      </c>
      <c r="X258">
        <v>0</v>
      </c>
      <c r="Y258">
        <v>0</v>
      </c>
      <c r="Z258" s="8"/>
      <c r="AA258" s="8" t="s">
        <v>123</v>
      </c>
      <c r="AB258" t="s">
        <v>21</v>
      </c>
    </row>
    <row r="259" spans="1:32">
      <c r="A259" s="8">
        <v>2004</v>
      </c>
      <c r="B259" s="8">
        <v>55</v>
      </c>
      <c r="C259" s="8"/>
      <c r="D259" s="8" t="s">
        <v>60</v>
      </c>
      <c r="E259" s="8" t="s">
        <v>209</v>
      </c>
      <c r="F259" t="s">
        <v>61</v>
      </c>
      <c r="G259" s="8" t="s">
        <v>26</v>
      </c>
      <c r="I259" s="8" t="s">
        <v>22</v>
      </c>
      <c r="J259" t="s">
        <v>24</v>
      </c>
      <c r="K259" t="s">
        <v>41</v>
      </c>
      <c r="L259" s="8" t="s">
        <v>26</v>
      </c>
      <c r="M259" s="8"/>
      <c r="N259" s="8"/>
      <c r="O259">
        <v>0</v>
      </c>
      <c r="P259">
        <v>1</v>
      </c>
      <c r="Q259">
        <v>0</v>
      </c>
      <c r="R259">
        <v>1</v>
      </c>
      <c r="S259">
        <v>0</v>
      </c>
      <c r="T259">
        <v>1</v>
      </c>
      <c r="U259">
        <v>0</v>
      </c>
      <c r="V259">
        <v>0</v>
      </c>
      <c r="W259" s="8">
        <v>1</v>
      </c>
      <c r="X259">
        <v>1</v>
      </c>
      <c r="Y259">
        <v>0</v>
      </c>
      <c r="Z259" s="8" t="s">
        <v>168</v>
      </c>
      <c r="AA259" s="8" t="s">
        <v>312</v>
      </c>
      <c r="AB259" t="s">
        <v>21</v>
      </c>
      <c r="AD259" t="s">
        <v>313</v>
      </c>
    </row>
    <row r="260" spans="1:32">
      <c r="A260" s="8">
        <v>2004</v>
      </c>
      <c r="B260" s="8">
        <v>55</v>
      </c>
      <c r="C260" s="8"/>
      <c r="D260" s="8" t="s">
        <v>60</v>
      </c>
      <c r="E260" s="8" t="s">
        <v>209</v>
      </c>
      <c r="F260" t="s">
        <v>61</v>
      </c>
      <c r="G260" s="8" t="s">
        <v>161</v>
      </c>
      <c r="I260" s="8" t="s">
        <v>22</v>
      </c>
      <c r="J260" t="s">
        <v>24</v>
      </c>
      <c r="K260" t="s">
        <v>41</v>
      </c>
      <c r="L260" s="8" t="s">
        <v>26</v>
      </c>
      <c r="M260" s="8"/>
      <c r="N260" s="8"/>
      <c r="O260">
        <v>0</v>
      </c>
      <c r="P260">
        <v>1</v>
      </c>
      <c r="Q260">
        <v>0</v>
      </c>
      <c r="R260">
        <v>1</v>
      </c>
      <c r="S260">
        <v>0</v>
      </c>
      <c r="T260">
        <v>1</v>
      </c>
      <c r="U260">
        <v>0</v>
      </c>
      <c r="V260">
        <v>0</v>
      </c>
      <c r="W260" s="8">
        <v>1</v>
      </c>
      <c r="X260">
        <v>1</v>
      </c>
      <c r="Y260">
        <v>0</v>
      </c>
      <c r="Z260" s="8" t="s">
        <v>168</v>
      </c>
      <c r="AA260" s="8" t="s">
        <v>312</v>
      </c>
      <c r="AB260" t="s">
        <v>21</v>
      </c>
      <c r="AD260" t="s">
        <v>313</v>
      </c>
    </row>
    <row r="261" spans="1:32">
      <c r="A261" s="8">
        <v>2004</v>
      </c>
      <c r="B261" s="8">
        <v>55</v>
      </c>
      <c r="C261" s="8"/>
      <c r="D261" s="8" t="s">
        <v>60</v>
      </c>
      <c r="E261" s="8" t="s">
        <v>209</v>
      </c>
      <c r="F261" t="s">
        <v>61</v>
      </c>
      <c r="G261" s="8" t="s">
        <v>193</v>
      </c>
      <c r="H261" t="s">
        <v>185</v>
      </c>
      <c r="I261" s="8" t="s">
        <v>22</v>
      </c>
      <c r="J261" t="s">
        <v>24</v>
      </c>
      <c r="K261" s="8" t="s">
        <v>41</v>
      </c>
      <c r="L261" s="8" t="s">
        <v>26</v>
      </c>
      <c r="M261" s="8"/>
      <c r="N261" s="8"/>
      <c r="O261">
        <v>0</v>
      </c>
      <c r="P261">
        <v>1</v>
      </c>
      <c r="Q261">
        <v>0</v>
      </c>
      <c r="R261">
        <v>1</v>
      </c>
      <c r="S261">
        <v>0</v>
      </c>
      <c r="T261">
        <v>1</v>
      </c>
      <c r="U261">
        <v>0</v>
      </c>
      <c r="V261">
        <v>0</v>
      </c>
      <c r="W261" s="8">
        <v>1</v>
      </c>
      <c r="X261">
        <v>1</v>
      </c>
      <c r="Y261">
        <v>0</v>
      </c>
      <c r="Z261" s="8" t="s">
        <v>168</v>
      </c>
      <c r="AA261" s="8" t="s">
        <v>312</v>
      </c>
      <c r="AB261" t="s">
        <v>21</v>
      </c>
      <c r="AD261" t="s">
        <v>313</v>
      </c>
    </row>
    <row r="262" spans="1:32">
      <c r="A262" s="8">
        <v>2004</v>
      </c>
      <c r="B262" s="8">
        <v>56</v>
      </c>
      <c r="C262" s="8"/>
      <c r="D262" s="8" t="s">
        <v>60</v>
      </c>
      <c r="E262" s="8" t="s">
        <v>209</v>
      </c>
      <c r="F262" t="s">
        <v>61</v>
      </c>
      <c r="G262" s="8" t="s">
        <v>160</v>
      </c>
      <c r="I262" s="8" t="s">
        <v>22</v>
      </c>
      <c r="J262" t="s">
        <v>24</v>
      </c>
      <c r="K262" s="8" t="s">
        <v>25</v>
      </c>
      <c r="L262" s="8" t="s">
        <v>26</v>
      </c>
      <c r="M262" s="8"/>
      <c r="N262" s="8"/>
      <c r="O262">
        <v>0</v>
      </c>
      <c r="P262">
        <v>0</v>
      </c>
      <c r="Q262">
        <v>0</v>
      </c>
      <c r="R262">
        <v>1</v>
      </c>
      <c r="S262">
        <v>0</v>
      </c>
      <c r="T262">
        <v>0</v>
      </c>
      <c r="U262">
        <v>0</v>
      </c>
      <c r="V262">
        <v>0</v>
      </c>
      <c r="W262" s="8">
        <v>0</v>
      </c>
      <c r="X262">
        <v>0</v>
      </c>
      <c r="Y262">
        <v>0</v>
      </c>
      <c r="Z262" s="8"/>
      <c r="AA262" s="8" t="s">
        <v>124</v>
      </c>
      <c r="AB262" t="s">
        <v>21</v>
      </c>
      <c r="AD262" t="s">
        <v>314</v>
      </c>
    </row>
    <row r="263" spans="1:32">
      <c r="A263" s="8">
        <v>2004</v>
      </c>
      <c r="B263" s="8">
        <v>56</v>
      </c>
      <c r="C263" s="8"/>
      <c r="D263" s="8" t="s">
        <v>60</v>
      </c>
      <c r="E263" s="8" t="s">
        <v>209</v>
      </c>
      <c r="F263" t="s">
        <v>61</v>
      </c>
      <c r="G263" s="8" t="s">
        <v>161</v>
      </c>
      <c r="I263" s="8" t="s">
        <v>22</v>
      </c>
      <c r="J263" t="s">
        <v>24</v>
      </c>
      <c r="K263" s="8" t="s">
        <v>25</v>
      </c>
      <c r="L263" s="8" t="s">
        <v>26</v>
      </c>
      <c r="M263" s="8"/>
      <c r="N263" s="8"/>
      <c r="O263">
        <v>0</v>
      </c>
      <c r="P263">
        <v>0</v>
      </c>
      <c r="Q263">
        <v>0</v>
      </c>
      <c r="R263">
        <v>1</v>
      </c>
      <c r="S263">
        <v>0</v>
      </c>
      <c r="T263">
        <v>0</v>
      </c>
      <c r="U263">
        <v>0</v>
      </c>
      <c r="V263">
        <v>0</v>
      </c>
      <c r="W263" s="8">
        <v>0</v>
      </c>
      <c r="X263">
        <v>0</v>
      </c>
      <c r="Y263">
        <v>0</v>
      </c>
      <c r="Z263" s="8"/>
      <c r="AA263" s="8" t="s">
        <v>124</v>
      </c>
      <c r="AB263" t="s">
        <v>21</v>
      </c>
      <c r="AD263" t="s">
        <v>314</v>
      </c>
    </row>
    <row r="264" spans="1:32">
      <c r="A264" s="8">
        <v>2004</v>
      </c>
      <c r="B264" s="8">
        <v>56</v>
      </c>
      <c r="C264" s="8"/>
      <c r="D264" s="8" t="s">
        <v>60</v>
      </c>
      <c r="E264" s="8" t="s">
        <v>209</v>
      </c>
      <c r="F264" t="s">
        <v>61</v>
      </c>
      <c r="G264" s="8" t="s">
        <v>193</v>
      </c>
      <c r="H264" t="s">
        <v>185</v>
      </c>
      <c r="I264" s="8" t="s">
        <v>22</v>
      </c>
      <c r="J264" t="s">
        <v>24</v>
      </c>
      <c r="K264" s="8" t="s">
        <v>25</v>
      </c>
      <c r="L264" s="8" t="s">
        <v>26</v>
      </c>
      <c r="M264" s="8"/>
      <c r="N264" s="8"/>
      <c r="O264">
        <v>0</v>
      </c>
      <c r="P264">
        <v>0</v>
      </c>
      <c r="Q264">
        <v>0</v>
      </c>
      <c r="R264">
        <v>1</v>
      </c>
      <c r="S264">
        <v>0</v>
      </c>
      <c r="T264">
        <v>0</v>
      </c>
      <c r="U264">
        <v>0</v>
      </c>
      <c r="V264">
        <v>0</v>
      </c>
      <c r="W264" s="8">
        <v>0</v>
      </c>
      <c r="X264">
        <v>0</v>
      </c>
      <c r="Y264">
        <v>0</v>
      </c>
      <c r="Z264" s="8"/>
      <c r="AA264" s="8" t="s">
        <v>124</v>
      </c>
      <c r="AB264" t="s">
        <v>21</v>
      </c>
      <c r="AD264" t="s">
        <v>314</v>
      </c>
    </row>
    <row r="265" spans="1:32">
      <c r="A265" s="8">
        <v>2004</v>
      </c>
      <c r="B265" s="8">
        <v>57</v>
      </c>
      <c r="C265" s="8"/>
      <c r="D265" s="8" t="s">
        <v>60</v>
      </c>
      <c r="E265" s="8" t="s">
        <v>209</v>
      </c>
      <c r="F265" t="s">
        <v>61</v>
      </c>
      <c r="G265" s="8" t="s">
        <v>160</v>
      </c>
      <c r="I265" s="8" t="s">
        <v>151</v>
      </c>
      <c r="J265" t="s">
        <v>183</v>
      </c>
      <c r="K265" s="8" t="s">
        <v>25</v>
      </c>
      <c r="L265" s="8" t="s">
        <v>26</v>
      </c>
      <c r="M265" s="8"/>
      <c r="N265" s="8"/>
      <c r="O265">
        <v>0</v>
      </c>
      <c r="P265">
        <v>1</v>
      </c>
      <c r="Q265">
        <v>0</v>
      </c>
      <c r="R265">
        <v>1</v>
      </c>
      <c r="S265">
        <v>0</v>
      </c>
      <c r="T265">
        <v>1</v>
      </c>
      <c r="U265">
        <v>1</v>
      </c>
      <c r="V265">
        <v>0</v>
      </c>
      <c r="W265" s="8">
        <v>1</v>
      </c>
      <c r="X265">
        <v>1</v>
      </c>
      <c r="Y265">
        <v>0</v>
      </c>
      <c r="Z265" s="8" t="s">
        <v>174</v>
      </c>
      <c r="AA265" s="8" t="s">
        <v>125</v>
      </c>
      <c r="AB265" t="s">
        <v>21</v>
      </c>
      <c r="AD265" t="s">
        <v>314</v>
      </c>
    </row>
    <row r="266" spans="1:32">
      <c r="A266" s="8">
        <v>2004</v>
      </c>
      <c r="B266" s="8">
        <v>57</v>
      </c>
      <c r="C266" s="8"/>
      <c r="D266" s="8" t="s">
        <v>60</v>
      </c>
      <c r="E266" s="8" t="s">
        <v>209</v>
      </c>
      <c r="F266" t="s">
        <v>61</v>
      </c>
      <c r="G266" s="8" t="s">
        <v>161</v>
      </c>
      <c r="I266" s="8" t="s">
        <v>151</v>
      </c>
      <c r="J266" t="s">
        <v>183</v>
      </c>
      <c r="K266" s="8" t="s">
        <v>25</v>
      </c>
      <c r="L266" s="8" t="s">
        <v>26</v>
      </c>
      <c r="M266" s="8"/>
      <c r="N266" s="8"/>
      <c r="O266">
        <v>0</v>
      </c>
      <c r="P266">
        <v>1</v>
      </c>
      <c r="Q266">
        <v>0</v>
      </c>
      <c r="R266">
        <v>1</v>
      </c>
      <c r="S266">
        <v>0</v>
      </c>
      <c r="T266">
        <v>1</v>
      </c>
      <c r="U266">
        <v>0</v>
      </c>
      <c r="V266">
        <v>0</v>
      </c>
      <c r="W266" s="8">
        <v>1</v>
      </c>
      <c r="X266">
        <v>1</v>
      </c>
      <c r="Y266">
        <v>0</v>
      </c>
      <c r="Z266" s="8" t="s">
        <v>174</v>
      </c>
      <c r="AA266" s="8" t="s">
        <v>125</v>
      </c>
      <c r="AB266" t="s">
        <v>21</v>
      </c>
      <c r="AD266" t="s">
        <v>314</v>
      </c>
    </row>
    <row r="267" spans="1:32">
      <c r="A267" s="8">
        <v>2004</v>
      </c>
      <c r="B267" s="8">
        <v>57</v>
      </c>
      <c r="C267" s="8"/>
      <c r="D267" s="8" t="s">
        <v>60</v>
      </c>
      <c r="E267" s="8" t="s">
        <v>209</v>
      </c>
      <c r="F267" t="s">
        <v>61</v>
      </c>
      <c r="G267" s="8" t="s">
        <v>193</v>
      </c>
      <c r="H267" t="s">
        <v>185</v>
      </c>
      <c r="I267" s="8" t="s">
        <v>151</v>
      </c>
      <c r="J267" t="s">
        <v>183</v>
      </c>
      <c r="K267" s="8" t="s">
        <v>25</v>
      </c>
      <c r="L267" s="8" t="s">
        <v>26</v>
      </c>
      <c r="M267" s="8"/>
      <c r="N267" s="8"/>
      <c r="O267">
        <v>0</v>
      </c>
      <c r="P267">
        <v>1</v>
      </c>
      <c r="Q267">
        <v>0</v>
      </c>
      <c r="R267">
        <v>1</v>
      </c>
      <c r="S267">
        <v>0</v>
      </c>
      <c r="T267">
        <v>1</v>
      </c>
      <c r="U267">
        <v>0</v>
      </c>
      <c r="V267">
        <v>0</v>
      </c>
      <c r="W267" s="8">
        <v>1</v>
      </c>
      <c r="X267">
        <v>1</v>
      </c>
      <c r="Y267">
        <v>0</v>
      </c>
      <c r="Z267" s="8" t="s">
        <v>174</v>
      </c>
      <c r="AA267" s="8" t="s">
        <v>125</v>
      </c>
      <c r="AB267" t="s">
        <v>21</v>
      </c>
      <c r="AD267" t="s">
        <v>314</v>
      </c>
    </row>
    <row r="268" spans="1:32">
      <c r="A268" s="8">
        <v>2004</v>
      </c>
      <c r="B268" s="8">
        <v>58</v>
      </c>
      <c r="C268" s="8"/>
      <c r="D268" s="8" t="s">
        <v>60</v>
      </c>
      <c r="E268" s="8" t="s">
        <v>209</v>
      </c>
      <c r="F268" t="s">
        <v>61</v>
      </c>
      <c r="G268" s="8" t="s">
        <v>26</v>
      </c>
      <c r="I268" s="8" t="s">
        <v>151</v>
      </c>
      <c r="J268" t="s">
        <v>183</v>
      </c>
      <c r="K268" s="8" t="s">
        <v>25</v>
      </c>
      <c r="L268" s="8" t="s">
        <v>26</v>
      </c>
      <c r="M268" s="8"/>
      <c r="N268" s="8"/>
      <c r="O268">
        <v>0</v>
      </c>
      <c r="P268">
        <v>1</v>
      </c>
      <c r="Q268">
        <v>0</v>
      </c>
      <c r="R268">
        <v>0</v>
      </c>
      <c r="S268">
        <v>0</v>
      </c>
      <c r="T268">
        <v>1</v>
      </c>
      <c r="U268">
        <v>0</v>
      </c>
      <c r="V268">
        <v>0</v>
      </c>
      <c r="W268" s="8">
        <v>1</v>
      </c>
      <c r="X268" s="8">
        <v>1</v>
      </c>
      <c r="Y268">
        <v>0</v>
      </c>
      <c r="Z268" s="8" t="s">
        <v>175</v>
      </c>
      <c r="AA268" s="8" t="s">
        <v>126</v>
      </c>
      <c r="AB268" t="s">
        <v>21</v>
      </c>
      <c r="AD268" t="s">
        <v>315</v>
      </c>
    </row>
    <row r="269" spans="1:32">
      <c r="A269" s="8">
        <v>2004</v>
      </c>
      <c r="B269" s="8">
        <v>59</v>
      </c>
      <c r="C269" s="8"/>
      <c r="D269" s="8" t="s">
        <v>60</v>
      </c>
      <c r="E269" s="8" t="s">
        <v>209</v>
      </c>
      <c r="F269" t="s">
        <v>61</v>
      </c>
      <c r="G269" s="8" t="s">
        <v>160</v>
      </c>
      <c r="I269" s="8" t="s">
        <v>151</v>
      </c>
      <c r="J269" t="s">
        <v>183</v>
      </c>
      <c r="K269" s="8" t="s">
        <v>25</v>
      </c>
      <c r="L269" s="8" t="s">
        <v>26</v>
      </c>
      <c r="M269" s="8"/>
      <c r="N269" s="8"/>
      <c r="O269">
        <v>0</v>
      </c>
      <c r="P269">
        <v>1</v>
      </c>
      <c r="Q269">
        <v>0</v>
      </c>
      <c r="R269">
        <v>0</v>
      </c>
      <c r="S269">
        <v>0</v>
      </c>
      <c r="T269">
        <v>0</v>
      </c>
      <c r="U269">
        <v>0</v>
      </c>
      <c r="V269">
        <v>0</v>
      </c>
      <c r="W269" s="8">
        <v>0</v>
      </c>
      <c r="X269">
        <v>0</v>
      </c>
      <c r="Y269">
        <v>0</v>
      </c>
      <c r="Z269" s="8"/>
      <c r="AA269" s="8" t="s">
        <v>127</v>
      </c>
      <c r="AB269" t="s">
        <v>21</v>
      </c>
    </row>
    <row r="270" spans="1:32">
      <c r="A270" s="8">
        <v>2004</v>
      </c>
      <c r="B270" s="8">
        <v>60</v>
      </c>
      <c r="C270" s="8"/>
      <c r="D270" s="8" t="s">
        <v>60</v>
      </c>
      <c r="F270" t="s">
        <v>61</v>
      </c>
      <c r="G270" s="8" t="s">
        <v>154</v>
      </c>
      <c r="H270" s="8" t="s">
        <v>187</v>
      </c>
      <c r="I270" s="8" t="s">
        <v>154</v>
      </c>
      <c r="J270" t="s">
        <v>187</v>
      </c>
      <c r="K270" s="8" t="s">
        <v>65</v>
      </c>
      <c r="L270" s="8" t="s">
        <v>154</v>
      </c>
      <c r="M270" s="8"/>
      <c r="N270" s="8"/>
      <c r="O270">
        <v>0</v>
      </c>
      <c r="P270">
        <v>1</v>
      </c>
      <c r="Q270">
        <v>1</v>
      </c>
      <c r="R270">
        <v>0</v>
      </c>
      <c r="S270">
        <v>0</v>
      </c>
      <c r="T270">
        <v>0</v>
      </c>
      <c r="U270">
        <v>0</v>
      </c>
      <c r="V270">
        <v>0</v>
      </c>
      <c r="W270" s="8">
        <v>0</v>
      </c>
      <c r="X270">
        <v>0</v>
      </c>
      <c r="Y270">
        <v>0</v>
      </c>
      <c r="Z270" s="8"/>
      <c r="AA270" s="8" t="s">
        <v>118</v>
      </c>
      <c r="AB270" t="s">
        <v>21</v>
      </c>
    </row>
    <row r="271" spans="1:32">
      <c r="A271" s="8">
        <v>2004</v>
      </c>
      <c r="B271" s="8">
        <v>61</v>
      </c>
      <c r="C271" s="8"/>
      <c r="D271" s="8" t="s">
        <v>60</v>
      </c>
      <c r="F271" t="s">
        <v>61</v>
      </c>
      <c r="G271" s="8" t="s">
        <v>35</v>
      </c>
      <c r="I271" s="8" t="s">
        <v>152</v>
      </c>
      <c r="J271" t="s">
        <v>184</v>
      </c>
      <c r="K271" s="8" t="s">
        <v>41</v>
      </c>
      <c r="L271" s="8" t="s">
        <v>35</v>
      </c>
      <c r="M271" s="8"/>
      <c r="N271" s="8"/>
      <c r="O271">
        <v>0</v>
      </c>
      <c r="P271">
        <v>1</v>
      </c>
      <c r="Q271">
        <v>1</v>
      </c>
      <c r="R271">
        <v>0</v>
      </c>
      <c r="S271">
        <v>0</v>
      </c>
      <c r="T271">
        <v>0</v>
      </c>
      <c r="U271">
        <v>1</v>
      </c>
      <c r="V271">
        <v>0</v>
      </c>
      <c r="W271" s="8">
        <v>1</v>
      </c>
      <c r="X271" s="8">
        <v>1</v>
      </c>
      <c r="Y271">
        <v>0</v>
      </c>
      <c r="Z271" s="8" t="s">
        <v>170</v>
      </c>
      <c r="AA271" s="8" t="s">
        <v>105</v>
      </c>
      <c r="AB271" t="s">
        <v>21</v>
      </c>
      <c r="AD271" t="s">
        <v>316</v>
      </c>
      <c r="AF271" t="s">
        <v>317</v>
      </c>
    </row>
    <row r="272" spans="1:32">
      <c r="A272" s="8">
        <v>2004</v>
      </c>
      <c r="B272" s="8">
        <v>61</v>
      </c>
      <c r="C272" s="8"/>
      <c r="D272" s="8" t="s">
        <v>60</v>
      </c>
      <c r="F272" t="s">
        <v>61</v>
      </c>
      <c r="G272" s="8" t="s">
        <v>191</v>
      </c>
      <c r="H272" s="8" t="s">
        <v>194</v>
      </c>
      <c r="I272" s="8" t="s">
        <v>152</v>
      </c>
      <c r="J272" s="8" t="s">
        <v>184</v>
      </c>
      <c r="K272" s="8" t="s">
        <v>41</v>
      </c>
      <c r="L272" s="8" t="s">
        <v>35</v>
      </c>
      <c r="M272" s="8"/>
      <c r="N272" s="8"/>
      <c r="O272">
        <v>0</v>
      </c>
      <c r="P272">
        <v>1</v>
      </c>
      <c r="Q272">
        <v>0</v>
      </c>
      <c r="R272">
        <v>0</v>
      </c>
      <c r="S272">
        <v>0</v>
      </c>
      <c r="T272">
        <v>0</v>
      </c>
      <c r="U272">
        <v>0</v>
      </c>
      <c r="V272">
        <v>0</v>
      </c>
      <c r="W272" s="8">
        <v>1</v>
      </c>
      <c r="X272" s="8">
        <v>1</v>
      </c>
      <c r="Y272">
        <v>0</v>
      </c>
      <c r="Z272" s="8" t="s">
        <v>170</v>
      </c>
      <c r="AA272" s="8" t="s">
        <v>105</v>
      </c>
      <c r="AB272" t="s">
        <v>21</v>
      </c>
      <c r="AD272" t="s">
        <v>316</v>
      </c>
      <c r="AF272" t="s">
        <v>317</v>
      </c>
    </row>
    <row r="273" spans="1:32">
      <c r="A273" s="8">
        <v>2004</v>
      </c>
      <c r="B273" s="8">
        <v>61</v>
      </c>
      <c r="C273" s="8"/>
      <c r="D273" s="8" t="s">
        <v>60</v>
      </c>
      <c r="F273" t="s">
        <v>61</v>
      </c>
      <c r="G273" s="8" t="s">
        <v>22</v>
      </c>
      <c r="H273" s="8" t="s">
        <v>24</v>
      </c>
      <c r="I273" s="8" t="s">
        <v>152</v>
      </c>
      <c r="J273" s="8" t="s">
        <v>184</v>
      </c>
      <c r="K273" s="8" t="s">
        <v>41</v>
      </c>
      <c r="L273" s="8" t="s">
        <v>35</v>
      </c>
      <c r="M273" s="8"/>
      <c r="N273" s="8"/>
      <c r="O273">
        <v>0</v>
      </c>
      <c r="P273">
        <v>1</v>
      </c>
      <c r="Q273">
        <v>0</v>
      </c>
      <c r="R273">
        <v>0</v>
      </c>
      <c r="S273">
        <v>0</v>
      </c>
      <c r="T273">
        <v>0</v>
      </c>
      <c r="U273">
        <v>0</v>
      </c>
      <c r="V273">
        <v>0</v>
      </c>
      <c r="W273" s="8">
        <v>1</v>
      </c>
      <c r="X273" s="8">
        <v>1</v>
      </c>
      <c r="Y273">
        <v>0</v>
      </c>
      <c r="Z273" s="8" t="s">
        <v>170</v>
      </c>
      <c r="AA273" s="8" t="s">
        <v>105</v>
      </c>
      <c r="AB273" t="s">
        <v>21</v>
      </c>
      <c r="AD273" t="s">
        <v>316</v>
      </c>
      <c r="AF273" t="s">
        <v>317</v>
      </c>
    </row>
    <row r="274" spans="1:32">
      <c r="A274" s="8">
        <v>2004</v>
      </c>
      <c r="B274" s="8">
        <v>61</v>
      </c>
      <c r="C274" s="8"/>
      <c r="D274" s="8" t="s">
        <v>60</v>
      </c>
      <c r="F274" t="s">
        <v>61</v>
      </c>
      <c r="G274" s="8" t="s">
        <v>192</v>
      </c>
      <c r="H274" s="8" t="s">
        <v>195</v>
      </c>
      <c r="I274" s="8" t="s">
        <v>152</v>
      </c>
      <c r="J274" s="8" t="s">
        <v>184</v>
      </c>
      <c r="K274" s="8" t="s">
        <v>41</v>
      </c>
      <c r="L274" s="8" t="s">
        <v>35</v>
      </c>
      <c r="M274" s="8"/>
      <c r="N274" s="8"/>
      <c r="O274">
        <v>0</v>
      </c>
      <c r="P274">
        <v>1</v>
      </c>
      <c r="Q274">
        <v>0</v>
      </c>
      <c r="R274">
        <v>0</v>
      </c>
      <c r="S274">
        <v>0</v>
      </c>
      <c r="T274">
        <v>0</v>
      </c>
      <c r="U274">
        <v>0</v>
      </c>
      <c r="V274">
        <v>0</v>
      </c>
      <c r="W274" s="8">
        <v>1</v>
      </c>
      <c r="X274" s="8">
        <v>1</v>
      </c>
      <c r="Y274">
        <v>0</v>
      </c>
      <c r="Z274" s="8" t="s">
        <v>170</v>
      </c>
      <c r="AA274" s="8" t="s">
        <v>105</v>
      </c>
      <c r="AB274" t="s">
        <v>21</v>
      </c>
      <c r="AD274" t="s">
        <v>316</v>
      </c>
      <c r="AF274" t="s">
        <v>317</v>
      </c>
    </row>
    <row r="275" spans="1:32">
      <c r="A275" s="8">
        <v>2004</v>
      </c>
      <c r="B275" s="8">
        <v>61</v>
      </c>
      <c r="C275" s="8"/>
      <c r="D275" s="8" t="s">
        <v>60</v>
      </c>
      <c r="F275" t="s">
        <v>61</v>
      </c>
      <c r="G275" s="8" t="s">
        <v>152</v>
      </c>
      <c r="H275" s="8" t="s">
        <v>184</v>
      </c>
      <c r="I275" s="8" t="s">
        <v>152</v>
      </c>
      <c r="J275" s="8" t="s">
        <v>184</v>
      </c>
      <c r="K275" s="8" t="s">
        <v>41</v>
      </c>
      <c r="L275" s="8" t="s">
        <v>35</v>
      </c>
      <c r="M275" s="8"/>
      <c r="N275" s="8"/>
      <c r="O275">
        <v>0</v>
      </c>
      <c r="P275">
        <v>1</v>
      </c>
      <c r="Q275">
        <v>1</v>
      </c>
      <c r="R275">
        <v>0</v>
      </c>
      <c r="S275">
        <v>0</v>
      </c>
      <c r="T275">
        <v>0</v>
      </c>
      <c r="U275">
        <v>0</v>
      </c>
      <c r="V275">
        <v>0</v>
      </c>
      <c r="W275" s="8">
        <v>1</v>
      </c>
      <c r="X275" s="8">
        <v>1</v>
      </c>
      <c r="Y275">
        <v>0</v>
      </c>
      <c r="Z275" s="8" t="s">
        <v>170</v>
      </c>
      <c r="AA275" s="8" t="s">
        <v>105</v>
      </c>
      <c r="AB275" t="s">
        <v>21</v>
      </c>
      <c r="AC275" s="10" t="s">
        <v>318</v>
      </c>
      <c r="AD275" t="s">
        <v>316</v>
      </c>
      <c r="AF275" t="s">
        <v>317</v>
      </c>
    </row>
    <row r="276" spans="1:32">
      <c r="A276" s="8">
        <v>2004</v>
      </c>
      <c r="B276" s="8">
        <v>61</v>
      </c>
      <c r="C276" s="8"/>
      <c r="D276" s="8" t="s">
        <v>60</v>
      </c>
      <c r="F276" t="s">
        <v>61</v>
      </c>
      <c r="G276" s="8" t="s">
        <v>202</v>
      </c>
      <c r="H276" s="8" t="s">
        <v>205</v>
      </c>
      <c r="I276" s="8" t="s">
        <v>152</v>
      </c>
      <c r="J276" s="8" t="s">
        <v>184</v>
      </c>
      <c r="K276" s="8" t="s">
        <v>41</v>
      </c>
      <c r="L276" s="8" t="s">
        <v>35</v>
      </c>
      <c r="M276" s="8"/>
      <c r="N276" s="8"/>
      <c r="O276">
        <v>0</v>
      </c>
      <c r="P276">
        <v>1</v>
      </c>
      <c r="Q276">
        <v>0</v>
      </c>
      <c r="R276">
        <v>0</v>
      </c>
      <c r="S276">
        <v>0</v>
      </c>
      <c r="T276">
        <v>0</v>
      </c>
      <c r="U276">
        <v>0</v>
      </c>
      <c r="V276">
        <v>0</v>
      </c>
      <c r="W276" s="8">
        <v>1</v>
      </c>
      <c r="X276" s="8">
        <v>1</v>
      </c>
      <c r="Y276">
        <v>0</v>
      </c>
      <c r="Z276" s="8" t="s">
        <v>170</v>
      </c>
      <c r="AA276" s="8" t="s">
        <v>105</v>
      </c>
      <c r="AB276" t="s">
        <v>21</v>
      </c>
      <c r="AD276" t="s">
        <v>316</v>
      </c>
      <c r="AF276" t="s">
        <v>317</v>
      </c>
    </row>
    <row r="277" spans="1:32">
      <c r="A277" s="8">
        <v>2004</v>
      </c>
      <c r="B277" s="8">
        <v>61</v>
      </c>
      <c r="C277" s="8"/>
      <c r="D277" s="8" t="s">
        <v>60</v>
      </c>
      <c r="F277" t="s">
        <v>61</v>
      </c>
      <c r="G277" s="8" t="s">
        <v>193</v>
      </c>
      <c r="H277" s="8" t="s">
        <v>185</v>
      </c>
      <c r="I277" s="8" t="s">
        <v>152</v>
      </c>
      <c r="J277" s="8" t="s">
        <v>184</v>
      </c>
      <c r="K277" s="8" t="s">
        <v>41</v>
      </c>
      <c r="L277" s="8" t="s">
        <v>35</v>
      </c>
      <c r="M277" s="8"/>
      <c r="N277" s="8"/>
      <c r="O277">
        <v>0</v>
      </c>
      <c r="P277">
        <v>1</v>
      </c>
      <c r="Q277">
        <v>0</v>
      </c>
      <c r="R277">
        <v>0</v>
      </c>
      <c r="S277">
        <v>0</v>
      </c>
      <c r="T277">
        <v>0</v>
      </c>
      <c r="U277">
        <v>0</v>
      </c>
      <c r="V277">
        <v>0</v>
      </c>
      <c r="W277" s="8">
        <v>1</v>
      </c>
      <c r="X277" s="8">
        <v>1</v>
      </c>
      <c r="Y277">
        <v>0</v>
      </c>
      <c r="Z277" s="8" t="s">
        <v>170</v>
      </c>
      <c r="AA277" s="8" t="s">
        <v>105</v>
      </c>
      <c r="AB277" t="s">
        <v>21</v>
      </c>
      <c r="AD277" t="s">
        <v>316</v>
      </c>
      <c r="AF277" t="s">
        <v>317</v>
      </c>
    </row>
    <row r="278" spans="1:32">
      <c r="A278" s="8">
        <v>2004</v>
      </c>
      <c r="B278" s="8">
        <v>61</v>
      </c>
      <c r="C278" s="8"/>
      <c r="D278" s="8" t="s">
        <v>60</v>
      </c>
      <c r="F278" t="s">
        <v>61</v>
      </c>
      <c r="G278" s="8" t="s">
        <v>203</v>
      </c>
      <c r="H278" s="8" t="s">
        <v>206</v>
      </c>
      <c r="I278" s="8" t="s">
        <v>152</v>
      </c>
      <c r="J278" s="8" t="s">
        <v>184</v>
      </c>
      <c r="K278" s="8" t="s">
        <v>41</v>
      </c>
      <c r="L278" s="8" t="s">
        <v>35</v>
      </c>
      <c r="M278" s="8"/>
      <c r="N278" s="8"/>
      <c r="O278">
        <v>0</v>
      </c>
      <c r="P278">
        <v>1</v>
      </c>
      <c r="Q278">
        <v>0</v>
      </c>
      <c r="R278">
        <v>0</v>
      </c>
      <c r="S278">
        <v>0</v>
      </c>
      <c r="T278">
        <v>0</v>
      </c>
      <c r="U278">
        <v>0</v>
      </c>
      <c r="V278">
        <v>0</v>
      </c>
      <c r="W278" s="8">
        <v>1</v>
      </c>
      <c r="X278" s="8">
        <v>1</v>
      </c>
      <c r="Y278">
        <v>0</v>
      </c>
      <c r="Z278" s="8" t="s">
        <v>170</v>
      </c>
      <c r="AA278" s="8" t="s">
        <v>105</v>
      </c>
      <c r="AB278" t="s">
        <v>21</v>
      </c>
      <c r="AD278" t="s">
        <v>316</v>
      </c>
      <c r="AF278" t="s">
        <v>317</v>
      </c>
    </row>
    <row r="279" spans="1:32">
      <c r="A279" s="8">
        <v>2004</v>
      </c>
      <c r="B279" s="8">
        <v>61</v>
      </c>
      <c r="C279" s="8"/>
      <c r="D279" s="8" t="s">
        <v>60</v>
      </c>
      <c r="F279" t="s">
        <v>61</v>
      </c>
      <c r="G279" s="8" t="s">
        <v>204</v>
      </c>
      <c r="H279" s="8" t="s">
        <v>207</v>
      </c>
      <c r="I279" s="8" t="s">
        <v>152</v>
      </c>
      <c r="J279" s="8" t="s">
        <v>184</v>
      </c>
      <c r="K279" s="8" t="s">
        <v>41</v>
      </c>
      <c r="L279" s="8" t="s">
        <v>35</v>
      </c>
      <c r="M279" s="8"/>
      <c r="N279" s="8"/>
      <c r="O279">
        <v>0</v>
      </c>
      <c r="P279">
        <v>1</v>
      </c>
      <c r="Q279">
        <v>0</v>
      </c>
      <c r="R279">
        <v>0</v>
      </c>
      <c r="S279">
        <v>0</v>
      </c>
      <c r="T279">
        <v>0</v>
      </c>
      <c r="U279">
        <v>0</v>
      </c>
      <c r="V279">
        <v>0</v>
      </c>
      <c r="W279" s="8">
        <v>1</v>
      </c>
      <c r="X279" s="8">
        <v>1</v>
      </c>
      <c r="Y279">
        <v>0</v>
      </c>
      <c r="Z279" s="8" t="s">
        <v>170</v>
      </c>
      <c r="AA279" s="8" t="s">
        <v>105</v>
      </c>
      <c r="AB279" t="s">
        <v>21</v>
      </c>
      <c r="AD279" t="s">
        <v>316</v>
      </c>
      <c r="AF279" t="s">
        <v>317</v>
      </c>
    </row>
    <row r="280" spans="1:32">
      <c r="A280" s="8">
        <v>2004</v>
      </c>
      <c r="B280" s="8">
        <v>62</v>
      </c>
      <c r="C280" s="8"/>
      <c r="D280" s="8" t="s">
        <v>60</v>
      </c>
      <c r="E280" t="s">
        <v>1076</v>
      </c>
      <c r="F280" t="s">
        <v>61</v>
      </c>
      <c r="G280" s="8" t="s">
        <v>35</v>
      </c>
      <c r="I280" s="8" t="s">
        <v>152</v>
      </c>
      <c r="J280" t="s">
        <v>184</v>
      </c>
      <c r="K280" s="8" t="s">
        <v>41</v>
      </c>
      <c r="L280" s="8" t="s">
        <v>35</v>
      </c>
      <c r="M280" s="8"/>
      <c r="N280" s="8"/>
      <c r="O280">
        <v>0</v>
      </c>
      <c r="P280">
        <v>1</v>
      </c>
      <c r="Q280">
        <v>1</v>
      </c>
      <c r="R280">
        <v>0</v>
      </c>
      <c r="S280">
        <v>0</v>
      </c>
      <c r="T280">
        <v>0</v>
      </c>
      <c r="U280">
        <v>0</v>
      </c>
      <c r="V280">
        <v>0</v>
      </c>
      <c r="W280" s="8">
        <v>1</v>
      </c>
      <c r="X280">
        <v>1</v>
      </c>
      <c r="Y280">
        <v>0</v>
      </c>
      <c r="Z280" s="8" t="s">
        <v>171</v>
      </c>
      <c r="AA280" s="8" t="s">
        <v>106</v>
      </c>
      <c r="AB280" t="s">
        <v>21</v>
      </c>
    </row>
    <row r="281" spans="1:32">
      <c r="A281" s="8">
        <v>2004</v>
      </c>
      <c r="B281" s="8">
        <v>62</v>
      </c>
      <c r="C281" s="8"/>
      <c r="D281" s="8" t="s">
        <v>60</v>
      </c>
      <c r="E281" t="s">
        <v>1076</v>
      </c>
      <c r="F281" t="s">
        <v>61</v>
      </c>
      <c r="G281" s="8" t="s">
        <v>191</v>
      </c>
      <c r="H281" s="8" t="s">
        <v>194</v>
      </c>
      <c r="I281" s="8" t="s">
        <v>152</v>
      </c>
      <c r="J281" s="8" t="s">
        <v>184</v>
      </c>
      <c r="K281" s="8" t="s">
        <v>41</v>
      </c>
      <c r="L281" s="8" t="s">
        <v>35</v>
      </c>
      <c r="M281" s="8"/>
      <c r="N281" s="8"/>
      <c r="O281">
        <v>0</v>
      </c>
      <c r="P281">
        <v>1</v>
      </c>
      <c r="Q281">
        <v>0</v>
      </c>
      <c r="R281">
        <v>0</v>
      </c>
      <c r="S281">
        <v>0</v>
      </c>
      <c r="T281">
        <v>0</v>
      </c>
      <c r="U281">
        <v>0</v>
      </c>
      <c r="V281">
        <v>0</v>
      </c>
      <c r="W281" s="8">
        <v>1</v>
      </c>
      <c r="X281" s="8">
        <v>1</v>
      </c>
      <c r="Y281">
        <v>0</v>
      </c>
      <c r="Z281" s="8" t="s">
        <v>171</v>
      </c>
      <c r="AA281" s="8" t="s">
        <v>106</v>
      </c>
      <c r="AB281" t="s">
        <v>21</v>
      </c>
    </row>
    <row r="282" spans="1:32">
      <c r="A282" s="8">
        <v>2004</v>
      </c>
      <c r="B282" s="8">
        <v>62</v>
      </c>
      <c r="C282" s="8"/>
      <c r="D282" s="8" t="s">
        <v>60</v>
      </c>
      <c r="E282" t="s">
        <v>1076</v>
      </c>
      <c r="F282" t="s">
        <v>61</v>
      </c>
      <c r="G282" s="8" t="s">
        <v>22</v>
      </c>
      <c r="H282" s="8" t="s">
        <v>24</v>
      </c>
      <c r="I282" s="8" t="s">
        <v>152</v>
      </c>
      <c r="J282" s="8" t="s">
        <v>184</v>
      </c>
      <c r="K282" s="8" t="s">
        <v>41</v>
      </c>
      <c r="L282" s="8" t="s">
        <v>35</v>
      </c>
      <c r="M282" s="8"/>
      <c r="N282" s="8"/>
      <c r="O282">
        <v>0</v>
      </c>
      <c r="P282">
        <v>1</v>
      </c>
      <c r="Q282">
        <v>0</v>
      </c>
      <c r="R282">
        <v>0</v>
      </c>
      <c r="S282">
        <v>0</v>
      </c>
      <c r="T282">
        <v>0</v>
      </c>
      <c r="U282">
        <v>0</v>
      </c>
      <c r="V282">
        <v>0</v>
      </c>
      <c r="W282" s="8">
        <v>1</v>
      </c>
      <c r="X282" s="8">
        <v>1</v>
      </c>
      <c r="Y282">
        <v>0</v>
      </c>
      <c r="Z282" s="8" t="s">
        <v>171</v>
      </c>
      <c r="AA282" s="8" t="s">
        <v>106</v>
      </c>
      <c r="AB282" t="s">
        <v>21</v>
      </c>
    </row>
    <row r="283" spans="1:32">
      <c r="A283" s="8">
        <v>2004</v>
      </c>
      <c r="B283" s="8">
        <v>62</v>
      </c>
      <c r="C283" s="8"/>
      <c r="D283" s="8" t="s">
        <v>60</v>
      </c>
      <c r="E283" t="s">
        <v>1076</v>
      </c>
      <c r="F283" t="s">
        <v>61</v>
      </c>
      <c r="G283" s="8" t="s">
        <v>192</v>
      </c>
      <c r="H283" s="8" t="s">
        <v>195</v>
      </c>
      <c r="I283" s="8" t="s">
        <v>152</v>
      </c>
      <c r="J283" s="8" t="s">
        <v>184</v>
      </c>
      <c r="K283" s="8" t="s">
        <v>41</v>
      </c>
      <c r="L283" s="8" t="s">
        <v>35</v>
      </c>
      <c r="M283" s="8"/>
      <c r="N283" s="8"/>
      <c r="O283">
        <v>0</v>
      </c>
      <c r="P283">
        <v>1</v>
      </c>
      <c r="Q283">
        <v>0</v>
      </c>
      <c r="R283">
        <v>0</v>
      </c>
      <c r="S283">
        <v>0</v>
      </c>
      <c r="T283">
        <v>0</v>
      </c>
      <c r="U283">
        <v>0</v>
      </c>
      <c r="V283">
        <v>0</v>
      </c>
      <c r="W283" s="8">
        <v>1</v>
      </c>
      <c r="X283">
        <v>1</v>
      </c>
      <c r="Y283">
        <v>0</v>
      </c>
      <c r="Z283" s="8" t="s">
        <v>171</v>
      </c>
      <c r="AA283" s="8" t="s">
        <v>106</v>
      </c>
      <c r="AB283" t="s">
        <v>21</v>
      </c>
    </row>
    <row r="284" spans="1:32">
      <c r="A284" s="8">
        <v>2004</v>
      </c>
      <c r="B284" s="8">
        <v>62</v>
      </c>
      <c r="C284" s="8"/>
      <c r="D284" s="8" t="s">
        <v>60</v>
      </c>
      <c r="E284" t="s">
        <v>1076</v>
      </c>
      <c r="F284" t="s">
        <v>61</v>
      </c>
      <c r="G284" s="8" t="s">
        <v>152</v>
      </c>
      <c r="H284" s="8" t="s">
        <v>184</v>
      </c>
      <c r="I284" s="8" t="s">
        <v>152</v>
      </c>
      <c r="J284" s="8" t="s">
        <v>184</v>
      </c>
      <c r="K284" s="8" t="s">
        <v>41</v>
      </c>
      <c r="L284" s="8" t="s">
        <v>35</v>
      </c>
      <c r="M284" s="8"/>
      <c r="N284" s="8"/>
      <c r="O284">
        <v>0</v>
      </c>
      <c r="P284">
        <v>1</v>
      </c>
      <c r="Q284">
        <v>1</v>
      </c>
      <c r="R284">
        <v>0</v>
      </c>
      <c r="S284">
        <v>0</v>
      </c>
      <c r="T284">
        <v>0</v>
      </c>
      <c r="U284">
        <v>0</v>
      </c>
      <c r="V284">
        <v>0</v>
      </c>
      <c r="W284" s="8">
        <v>1</v>
      </c>
      <c r="X284">
        <v>1</v>
      </c>
      <c r="Y284">
        <v>0</v>
      </c>
      <c r="Z284" s="8" t="s">
        <v>171</v>
      </c>
      <c r="AA284" s="8" t="s">
        <v>106</v>
      </c>
      <c r="AB284" t="s">
        <v>21</v>
      </c>
    </row>
    <row r="285" spans="1:32">
      <c r="A285" s="8">
        <v>2004</v>
      </c>
      <c r="B285" s="8">
        <v>62</v>
      </c>
      <c r="C285" s="8"/>
      <c r="D285" s="8" t="s">
        <v>60</v>
      </c>
      <c r="E285" t="s">
        <v>1076</v>
      </c>
      <c r="F285" t="s">
        <v>61</v>
      </c>
      <c r="G285" s="8" t="s">
        <v>202</v>
      </c>
      <c r="H285" s="8" t="s">
        <v>205</v>
      </c>
      <c r="I285" s="8" t="s">
        <v>152</v>
      </c>
      <c r="J285" s="8" t="s">
        <v>184</v>
      </c>
      <c r="K285" s="8" t="s">
        <v>41</v>
      </c>
      <c r="L285" s="8" t="s">
        <v>35</v>
      </c>
      <c r="M285" s="8"/>
      <c r="N285" s="8"/>
      <c r="O285">
        <v>0</v>
      </c>
      <c r="P285">
        <v>1</v>
      </c>
      <c r="Q285">
        <v>0</v>
      </c>
      <c r="R285">
        <v>0</v>
      </c>
      <c r="S285">
        <v>0</v>
      </c>
      <c r="T285">
        <v>0</v>
      </c>
      <c r="U285">
        <v>0</v>
      </c>
      <c r="V285">
        <v>0</v>
      </c>
      <c r="W285" s="8">
        <v>1</v>
      </c>
      <c r="X285">
        <v>1</v>
      </c>
      <c r="Y285">
        <v>0</v>
      </c>
      <c r="Z285" s="8" t="s">
        <v>171</v>
      </c>
      <c r="AA285" s="8" t="s">
        <v>106</v>
      </c>
      <c r="AB285" t="s">
        <v>21</v>
      </c>
    </row>
    <row r="286" spans="1:32">
      <c r="A286" s="8">
        <v>2004</v>
      </c>
      <c r="B286" s="8">
        <v>62</v>
      </c>
      <c r="C286" s="8"/>
      <c r="D286" s="8" t="s">
        <v>60</v>
      </c>
      <c r="E286" t="s">
        <v>1076</v>
      </c>
      <c r="F286" t="s">
        <v>61</v>
      </c>
      <c r="G286" s="8" t="s">
        <v>193</v>
      </c>
      <c r="H286" s="8" t="s">
        <v>185</v>
      </c>
      <c r="I286" s="8" t="s">
        <v>152</v>
      </c>
      <c r="J286" s="8" t="s">
        <v>184</v>
      </c>
      <c r="K286" s="8" t="s">
        <v>41</v>
      </c>
      <c r="L286" s="8" t="s">
        <v>35</v>
      </c>
      <c r="M286" s="8"/>
      <c r="N286" s="8"/>
      <c r="O286">
        <v>0</v>
      </c>
      <c r="P286">
        <v>1</v>
      </c>
      <c r="Q286">
        <v>0</v>
      </c>
      <c r="R286">
        <v>0</v>
      </c>
      <c r="S286">
        <v>0</v>
      </c>
      <c r="T286">
        <v>0</v>
      </c>
      <c r="U286">
        <v>0</v>
      </c>
      <c r="V286">
        <v>0</v>
      </c>
      <c r="W286" s="8">
        <v>1</v>
      </c>
      <c r="X286">
        <v>1</v>
      </c>
      <c r="Y286">
        <v>0</v>
      </c>
      <c r="Z286" s="8" t="s">
        <v>171</v>
      </c>
      <c r="AA286" s="8" t="s">
        <v>106</v>
      </c>
      <c r="AB286" t="s">
        <v>21</v>
      </c>
    </row>
    <row r="287" spans="1:32">
      <c r="A287" s="8">
        <v>2004</v>
      </c>
      <c r="B287" s="8">
        <v>62</v>
      </c>
      <c r="C287" s="8"/>
      <c r="D287" s="8" t="s">
        <v>60</v>
      </c>
      <c r="E287" t="s">
        <v>1076</v>
      </c>
      <c r="F287" t="s">
        <v>61</v>
      </c>
      <c r="G287" s="8" t="s">
        <v>203</v>
      </c>
      <c r="H287" s="8" t="s">
        <v>206</v>
      </c>
      <c r="I287" s="8" t="s">
        <v>152</v>
      </c>
      <c r="J287" s="8" t="s">
        <v>184</v>
      </c>
      <c r="K287" s="8" t="s">
        <v>41</v>
      </c>
      <c r="L287" s="8" t="s">
        <v>35</v>
      </c>
      <c r="M287" s="8"/>
      <c r="N287" s="8"/>
      <c r="O287">
        <v>0</v>
      </c>
      <c r="P287">
        <v>1</v>
      </c>
      <c r="Q287">
        <v>0</v>
      </c>
      <c r="R287">
        <v>0</v>
      </c>
      <c r="S287">
        <v>0</v>
      </c>
      <c r="T287">
        <v>0</v>
      </c>
      <c r="U287">
        <v>0</v>
      </c>
      <c r="V287">
        <v>0</v>
      </c>
      <c r="W287" s="8">
        <v>1</v>
      </c>
      <c r="X287">
        <v>1</v>
      </c>
      <c r="Y287">
        <v>0</v>
      </c>
      <c r="Z287" s="8" t="s">
        <v>171</v>
      </c>
      <c r="AA287" s="8" t="s">
        <v>106</v>
      </c>
      <c r="AB287" t="s">
        <v>21</v>
      </c>
    </row>
    <row r="288" spans="1:32">
      <c r="A288" s="8">
        <v>2004</v>
      </c>
      <c r="B288" s="8">
        <v>62</v>
      </c>
      <c r="C288" s="8"/>
      <c r="D288" s="8" t="s">
        <v>60</v>
      </c>
      <c r="E288" t="s">
        <v>1076</v>
      </c>
      <c r="F288" t="s">
        <v>61</v>
      </c>
      <c r="G288" s="8" t="s">
        <v>204</v>
      </c>
      <c r="H288" s="8" t="s">
        <v>207</v>
      </c>
      <c r="I288" s="8" t="s">
        <v>152</v>
      </c>
      <c r="J288" s="8" t="s">
        <v>184</v>
      </c>
      <c r="K288" s="8" t="s">
        <v>41</v>
      </c>
      <c r="L288" s="8" t="s">
        <v>35</v>
      </c>
      <c r="M288" s="8"/>
      <c r="N288" s="8"/>
      <c r="O288">
        <v>0</v>
      </c>
      <c r="P288">
        <v>1</v>
      </c>
      <c r="Q288">
        <v>0</v>
      </c>
      <c r="R288">
        <v>0</v>
      </c>
      <c r="S288">
        <v>0</v>
      </c>
      <c r="T288">
        <v>0</v>
      </c>
      <c r="U288">
        <v>0</v>
      </c>
      <c r="V288">
        <v>0</v>
      </c>
      <c r="W288" s="8">
        <v>1</v>
      </c>
      <c r="X288">
        <v>1</v>
      </c>
      <c r="Y288">
        <v>0</v>
      </c>
      <c r="Z288" s="8" t="s">
        <v>171</v>
      </c>
      <c r="AA288" s="8" t="s">
        <v>106</v>
      </c>
      <c r="AB288" t="s">
        <v>21</v>
      </c>
    </row>
    <row r="289" spans="1:32">
      <c r="A289" s="8">
        <v>2004</v>
      </c>
      <c r="B289" s="8">
        <v>63</v>
      </c>
      <c r="C289" s="8"/>
      <c r="D289" s="8" t="s">
        <v>60</v>
      </c>
      <c r="F289" t="s">
        <v>61</v>
      </c>
      <c r="G289" s="8" t="s">
        <v>35</v>
      </c>
      <c r="I289" s="8" t="s">
        <v>152</v>
      </c>
      <c r="J289" t="s">
        <v>184</v>
      </c>
      <c r="K289" s="8" t="s">
        <v>41</v>
      </c>
      <c r="L289" s="8" t="s">
        <v>35</v>
      </c>
      <c r="M289" s="8"/>
      <c r="N289" s="8"/>
      <c r="O289">
        <v>0</v>
      </c>
      <c r="P289">
        <v>1</v>
      </c>
      <c r="Q289">
        <v>1</v>
      </c>
      <c r="R289">
        <v>0</v>
      </c>
      <c r="S289">
        <v>0</v>
      </c>
      <c r="T289">
        <v>0</v>
      </c>
      <c r="U289">
        <v>0</v>
      </c>
      <c r="V289">
        <v>0</v>
      </c>
      <c r="W289" s="8">
        <v>0</v>
      </c>
      <c r="X289">
        <v>0</v>
      </c>
      <c r="Y289">
        <v>0</v>
      </c>
      <c r="Z289" s="8"/>
      <c r="AA289" s="8" t="s">
        <v>107</v>
      </c>
      <c r="AB289" t="s">
        <v>21</v>
      </c>
    </row>
    <row r="290" spans="1:32">
      <c r="A290" s="8">
        <v>2004</v>
      </c>
      <c r="B290" s="8">
        <v>63</v>
      </c>
      <c r="C290" s="8"/>
      <c r="D290" s="8" t="s">
        <v>60</v>
      </c>
      <c r="F290" t="s">
        <v>61</v>
      </c>
      <c r="G290" s="8" t="s">
        <v>191</v>
      </c>
      <c r="H290" s="8" t="s">
        <v>194</v>
      </c>
      <c r="I290" s="8" t="s">
        <v>152</v>
      </c>
      <c r="J290" s="8" t="s">
        <v>184</v>
      </c>
      <c r="K290" s="8" t="s">
        <v>41</v>
      </c>
      <c r="L290" s="8" t="s">
        <v>35</v>
      </c>
      <c r="M290" s="8"/>
      <c r="N290" s="8"/>
      <c r="O290">
        <v>0</v>
      </c>
      <c r="P290">
        <v>1</v>
      </c>
      <c r="Q290">
        <v>0</v>
      </c>
      <c r="R290">
        <v>0</v>
      </c>
      <c r="S290">
        <v>0</v>
      </c>
      <c r="T290">
        <v>0</v>
      </c>
      <c r="U290">
        <v>0</v>
      </c>
      <c r="V290">
        <v>0</v>
      </c>
      <c r="W290" s="8">
        <v>0</v>
      </c>
      <c r="X290">
        <v>0</v>
      </c>
      <c r="Y290">
        <v>0</v>
      </c>
      <c r="Z290" s="8"/>
      <c r="AA290" s="8" t="s">
        <v>107</v>
      </c>
      <c r="AB290" t="s">
        <v>21</v>
      </c>
    </row>
    <row r="291" spans="1:32">
      <c r="A291" s="8">
        <v>2004</v>
      </c>
      <c r="B291" s="8">
        <v>63</v>
      </c>
      <c r="C291" s="8"/>
      <c r="D291" s="8" t="s">
        <v>60</v>
      </c>
      <c r="F291" t="s">
        <v>61</v>
      </c>
      <c r="G291" s="8" t="s">
        <v>22</v>
      </c>
      <c r="H291" s="8" t="s">
        <v>24</v>
      </c>
      <c r="I291" s="8" t="s">
        <v>152</v>
      </c>
      <c r="J291" s="8" t="s">
        <v>184</v>
      </c>
      <c r="K291" s="8" t="s">
        <v>41</v>
      </c>
      <c r="L291" s="8" t="s">
        <v>35</v>
      </c>
      <c r="M291" s="8"/>
      <c r="N291" s="8"/>
      <c r="O291">
        <v>0</v>
      </c>
      <c r="P291">
        <v>1</v>
      </c>
      <c r="Q291">
        <v>0</v>
      </c>
      <c r="R291">
        <v>0</v>
      </c>
      <c r="S291">
        <v>0</v>
      </c>
      <c r="T291">
        <v>0</v>
      </c>
      <c r="U291">
        <v>0</v>
      </c>
      <c r="V291">
        <v>0</v>
      </c>
      <c r="W291" s="8">
        <v>0</v>
      </c>
      <c r="X291">
        <v>0</v>
      </c>
      <c r="Y291">
        <v>0</v>
      </c>
      <c r="Z291" s="8"/>
      <c r="AA291" s="8" t="s">
        <v>107</v>
      </c>
      <c r="AB291" t="s">
        <v>21</v>
      </c>
    </row>
    <row r="292" spans="1:32">
      <c r="A292" s="8">
        <v>2004</v>
      </c>
      <c r="B292" s="8">
        <v>63</v>
      </c>
      <c r="C292" s="8"/>
      <c r="D292" s="8" t="s">
        <v>60</v>
      </c>
      <c r="F292" t="s">
        <v>61</v>
      </c>
      <c r="G292" s="8" t="s">
        <v>192</v>
      </c>
      <c r="H292" s="8" t="s">
        <v>195</v>
      </c>
      <c r="I292" s="8" t="s">
        <v>152</v>
      </c>
      <c r="J292" s="8" t="s">
        <v>184</v>
      </c>
      <c r="K292" s="8" t="s">
        <v>41</v>
      </c>
      <c r="L292" s="8" t="s">
        <v>35</v>
      </c>
      <c r="M292" s="8"/>
      <c r="N292" s="8"/>
      <c r="O292">
        <v>0</v>
      </c>
      <c r="P292">
        <v>1</v>
      </c>
      <c r="Q292">
        <v>0</v>
      </c>
      <c r="R292">
        <v>0</v>
      </c>
      <c r="S292">
        <v>0</v>
      </c>
      <c r="T292">
        <v>0</v>
      </c>
      <c r="U292">
        <v>0</v>
      </c>
      <c r="V292">
        <v>0</v>
      </c>
      <c r="W292" s="8">
        <v>0</v>
      </c>
      <c r="X292">
        <v>0</v>
      </c>
      <c r="Y292">
        <v>0</v>
      </c>
      <c r="Z292" s="8"/>
      <c r="AA292" s="8" t="s">
        <v>107</v>
      </c>
      <c r="AB292" t="s">
        <v>21</v>
      </c>
    </row>
    <row r="293" spans="1:32">
      <c r="A293" s="8">
        <v>2004</v>
      </c>
      <c r="B293" s="8">
        <v>63</v>
      </c>
      <c r="C293" s="8"/>
      <c r="D293" s="8" t="s">
        <v>60</v>
      </c>
      <c r="F293" t="s">
        <v>61</v>
      </c>
      <c r="G293" s="8" t="s">
        <v>152</v>
      </c>
      <c r="H293" s="8" t="s">
        <v>184</v>
      </c>
      <c r="I293" s="8" t="s">
        <v>152</v>
      </c>
      <c r="J293" s="8" t="s">
        <v>184</v>
      </c>
      <c r="K293" s="8" t="s">
        <v>41</v>
      </c>
      <c r="L293" s="8" t="s">
        <v>35</v>
      </c>
      <c r="M293" s="8"/>
      <c r="N293" s="8"/>
      <c r="O293">
        <v>0</v>
      </c>
      <c r="P293">
        <v>1</v>
      </c>
      <c r="Q293">
        <v>1</v>
      </c>
      <c r="R293">
        <v>0</v>
      </c>
      <c r="S293">
        <v>0</v>
      </c>
      <c r="T293">
        <v>0</v>
      </c>
      <c r="U293">
        <v>0</v>
      </c>
      <c r="V293">
        <v>0</v>
      </c>
      <c r="W293" s="8">
        <v>0</v>
      </c>
      <c r="X293">
        <v>0</v>
      </c>
      <c r="Y293">
        <v>0</v>
      </c>
      <c r="Z293" s="8"/>
      <c r="AA293" s="8" t="s">
        <v>107</v>
      </c>
      <c r="AB293" t="s">
        <v>21</v>
      </c>
    </row>
    <row r="294" spans="1:32">
      <c r="A294" s="8">
        <v>2004</v>
      </c>
      <c r="B294" s="8">
        <v>63</v>
      </c>
      <c r="C294" s="8"/>
      <c r="D294" s="8" t="s">
        <v>60</v>
      </c>
      <c r="F294" t="s">
        <v>61</v>
      </c>
      <c r="G294" s="8" t="s">
        <v>202</v>
      </c>
      <c r="H294" s="8" t="s">
        <v>205</v>
      </c>
      <c r="I294" s="8" t="s">
        <v>152</v>
      </c>
      <c r="J294" s="8" t="s">
        <v>184</v>
      </c>
      <c r="K294" s="8" t="s">
        <v>41</v>
      </c>
      <c r="L294" s="8" t="s">
        <v>35</v>
      </c>
      <c r="M294" s="8"/>
      <c r="N294" s="8"/>
      <c r="O294">
        <v>0</v>
      </c>
      <c r="P294">
        <v>1</v>
      </c>
      <c r="Q294">
        <v>0</v>
      </c>
      <c r="R294">
        <v>0</v>
      </c>
      <c r="S294">
        <v>0</v>
      </c>
      <c r="T294">
        <v>0</v>
      </c>
      <c r="U294">
        <v>0</v>
      </c>
      <c r="V294">
        <v>0</v>
      </c>
      <c r="W294" s="8">
        <v>0</v>
      </c>
      <c r="X294">
        <v>0</v>
      </c>
      <c r="Y294">
        <v>0</v>
      </c>
      <c r="Z294" s="8"/>
      <c r="AA294" s="8" t="s">
        <v>107</v>
      </c>
      <c r="AB294" t="s">
        <v>21</v>
      </c>
    </row>
    <row r="295" spans="1:32">
      <c r="A295" s="8">
        <v>2004</v>
      </c>
      <c r="B295" s="8">
        <v>63</v>
      </c>
      <c r="C295" s="8"/>
      <c r="D295" s="8" t="s">
        <v>60</v>
      </c>
      <c r="F295" t="s">
        <v>61</v>
      </c>
      <c r="G295" s="8" t="s">
        <v>193</v>
      </c>
      <c r="H295" s="8" t="s">
        <v>185</v>
      </c>
      <c r="I295" s="8" t="s">
        <v>152</v>
      </c>
      <c r="J295" s="8" t="s">
        <v>184</v>
      </c>
      <c r="K295" s="8" t="s">
        <v>41</v>
      </c>
      <c r="L295" s="8" t="s">
        <v>35</v>
      </c>
      <c r="M295" s="8"/>
      <c r="N295" s="8"/>
      <c r="O295">
        <v>0</v>
      </c>
      <c r="P295">
        <v>1</v>
      </c>
      <c r="Q295">
        <v>0</v>
      </c>
      <c r="R295">
        <v>0</v>
      </c>
      <c r="S295">
        <v>0</v>
      </c>
      <c r="T295">
        <v>0</v>
      </c>
      <c r="U295">
        <v>0</v>
      </c>
      <c r="V295">
        <v>0</v>
      </c>
      <c r="W295" s="8">
        <v>0</v>
      </c>
      <c r="X295">
        <v>0</v>
      </c>
      <c r="Y295">
        <v>0</v>
      </c>
      <c r="Z295" s="8"/>
      <c r="AA295" s="8" t="s">
        <v>107</v>
      </c>
      <c r="AB295" t="s">
        <v>21</v>
      </c>
    </row>
    <row r="296" spans="1:32">
      <c r="A296" s="8">
        <v>2004</v>
      </c>
      <c r="B296" s="8">
        <v>63</v>
      </c>
      <c r="C296" s="8"/>
      <c r="D296" s="8" t="s">
        <v>60</v>
      </c>
      <c r="F296" t="s">
        <v>61</v>
      </c>
      <c r="G296" s="8" t="s">
        <v>203</v>
      </c>
      <c r="H296" s="8" t="s">
        <v>206</v>
      </c>
      <c r="I296" s="8" t="s">
        <v>152</v>
      </c>
      <c r="J296" s="8" t="s">
        <v>184</v>
      </c>
      <c r="K296" s="8" t="s">
        <v>41</v>
      </c>
      <c r="L296" s="8" t="s">
        <v>35</v>
      </c>
      <c r="M296" s="8"/>
      <c r="N296" s="8"/>
      <c r="O296">
        <v>0</v>
      </c>
      <c r="P296">
        <v>1</v>
      </c>
      <c r="Q296">
        <v>0</v>
      </c>
      <c r="R296">
        <v>0</v>
      </c>
      <c r="S296">
        <v>0</v>
      </c>
      <c r="T296">
        <v>0</v>
      </c>
      <c r="U296">
        <v>0</v>
      </c>
      <c r="V296">
        <v>0</v>
      </c>
      <c r="W296" s="8">
        <v>0</v>
      </c>
      <c r="X296">
        <v>0</v>
      </c>
      <c r="Y296">
        <v>0</v>
      </c>
      <c r="Z296" s="8"/>
      <c r="AA296" s="8" t="s">
        <v>107</v>
      </c>
      <c r="AB296" t="s">
        <v>21</v>
      </c>
    </row>
    <row r="297" spans="1:32">
      <c r="A297" s="8">
        <v>2004</v>
      </c>
      <c r="B297" s="8">
        <v>63</v>
      </c>
      <c r="C297" s="8"/>
      <c r="D297" s="8" t="s">
        <v>60</v>
      </c>
      <c r="F297" t="s">
        <v>61</v>
      </c>
      <c r="G297" s="8" t="s">
        <v>204</v>
      </c>
      <c r="H297" s="8" t="s">
        <v>207</v>
      </c>
      <c r="I297" s="8" t="s">
        <v>152</v>
      </c>
      <c r="J297" s="8" t="s">
        <v>184</v>
      </c>
      <c r="K297" s="8" t="s">
        <v>41</v>
      </c>
      <c r="L297" s="8" t="s">
        <v>35</v>
      </c>
      <c r="M297" s="8"/>
      <c r="N297" s="8"/>
      <c r="O297">
        <v>0</v>
      </c>
      <c r="P297">
        <v>1</v>
      </c>
      <c r="Q297">
        <v>0</v>
      </c>
      <c r="R297">
        <v>0</v>
      </c>
      <c r="S297">
        <v>0</v>
      </c>
      <c r="T297">
        <v>0</v>
      </c>
      <c r="U297">
        <v>0</v>
      </c>
      <c r="V297">
        <v>0</v>
      </c>
      <c r="W297" s="8">
        <v>0</v>
      </c>
      <c r="X297">
        <v>0</v>
      </c>
      <c r="Y297">
        <v>0</v>
      </c>
      <c r="Z297" s="8"/>
      <c r="AA297" s="8" t="s">
        <v>107</v>
      </c>
      <c r="AB297" t="s">
        <v>21</v>
      </c>
    </row>
    <row r="298" spans="1:32">
      <c r="A298" s="8">
        <v>2004</v>
      </c>
      <c r="B298" s="8">
        <v>64</v>
      </c>
      <c r="C298" s="8"/>
      <c r="D298" s="8" t="s">
        <v>60</v>
      </c>
      <c r="F298" t="s">
        <v>61</v>
      </c>
      <c r="G298" s="8" t="s">
        <v>35</v>
      </c>
      <c r="I298" s="8" t="s">
        <v>152</v>
      </c>
      <c r="J298" t="s">
        <v>184</v>
      </c>
      <c r="K298" s="8" t="s">
        <v>41</v>
      </c>
      <c r="L298" s="8" t="s">
        <v>35</v>
      </c>
      <c r="M298" s="8" t="s">
        <v>37</v>
      </c>
      <c r="N298" s="8"/>
      <c r="O298">
        <v>0</v>
      </c>
      <c r="P298">
        <v>1</v>
      </c>
      <c r="Q298">
        <v>1</v>
      </c>
      <c r="R298">
        <v>0</v>
      </c>
      <c r="S298">
        <v>0</v>
      </c>
      <c r="T298">
        <v>0</v>
      </c>
      <c r="U298">
        <v>1</v>
      </c>
      <c r="V298">
        <v>0</v>
      </c>
      <c r="W298" s="8">
        <v>1</v>
      </c>
      <c r="X298">
        <v>1</v>
      </c>
      <c r="Y298">
        <v>0</v>
      </c>
      <c r="Z298" s="8" t="s">
        <v>320</v>
      </c>
      <c r="AA298" s="8" t="s">
        <v>108</v>
      </c>
      <c r="AB298" t="s">
        <v>21</v>
      </c>
      <c r="AD298" t="s">
        <v>341</v>
      </c>
    </row>
    <row r="299" spans="1:32">
      <c r="A299" s="8">
        <v>2004</v>
      </c>
      <c r="B299" s="8">
        <v>64</v>
      </c>
      <c r="C299" s="8"/>
      <c r="D299" s="8" t="s">
        <v>60</v>
      </c>
      <c r="F299" t="s">
        <v>61</v>
      </c>
      <c r="G299" s="8" t="s">
        <v>191</v>
      </c>
      <c r="H299" s="8" t="s">
        <v>194</v>
      </c>
      <c r="I299" s="8" t="s">
        <v>152</v>
      </c>
      <c r="J299" s="8" t="s">
        <v>184</v>
      </c>
      <c r="K299" s="8" t="s">
        <v>41</v>
      </c>
      <c r="L299" s="8" t="s">
        <v>35</v>
      </c>
      <c r="M299" s="8" t="s">
        <v>37</v>
      </c>
      <c r="N299" s="8"/>
      <c r="O299">
        <v>0</v>
      </c>
      <c r="P299">
        <v>1</v>
      </c>
      <c r="Q299">
        <v>0</v>
      </c>
      <c r="R299">
        <v>0</v>
      </c>
      <c r="S299">
        <v>0</v>
      </c>
      <c r="T299">
        <v>0</v>
      </c>
      <c r="U299">
        <v>0</v>
      </c>
      <c r="V299">
        <v>0</v>
      </c>
      <c r="W299" s="8">
        <v>1</v>
      </c>
      <c r="X299">
        <v>1</v>
      </c>
      <c r="Y299">
        <v>0</v>
      </c>
      <c r="Z299" s="8" t="s">
        <v>320</v>
      </c>
      <c r="AA299" s="8" t="s">
        <v>108</v>
      </c>
      <c r="AB299" t="s">
        <v>21</v>
      </c>
    </row>
    <row r="300" spans="1:32">
      <c r="A300" s="8">
        <v>2004</v>
      </c>
      <c r="B300" s="8">
        <v>64</v>
      </c>
      <c r="C300" s="8"/>
      <c r="D300" s="8" t="s">
        <v>60</v>
      </c>
      <c r="F300" t="s">
        <v>61</v>
      </c>
      <c r="G300" s="8" t="s">
        <v>22</v>
      </c>
      <c r="H300" s="8" t="s">
        <v>24</v>
      </c>
      <c r="I300" s="8" t="s">
        <v>152</v>
      </c>
      <c r="J300" s="8" t="s">
        <v>184</v>
      </c>
      <c r="K300" s="8" t="s">
        <v>41</v>
      </c>
      <c r="L300" s="8" t="s">
        <v>35</v>
      </c>
      <c r="M300" s="8" t="s">
        <v>37</v>
      </c>
      <c r="N300" s="8"/>
      <c r="O300">
        <v>0</v>
      </c>
      <c r="P300">
        <v>1</v>
      </c>
      <c r="Q300">
        <v>0</v>
      </c>
      <c r="R300">
        <v>0</v>
      </c>
      <c r="S300">
        <v>0</v>
      </c>
      <c r="T300">
        <v>0</v>
      </c>
      <c r="U300">
        <v>0</v>
      </c>
      <c r="V300">
        <v>0</v>
      </c>
      <c r="W300" s="8">
        <v>1</v>
      </c>
      <c r="X300">
        <v>1</v>
      </c>
      <c r="Y300">
        <v>0</v>
      </c>
      <c r="Z300" s="8" t="s">
        <v>320</v>
      </c>
      <c r="AA300" s="8" t="s">
        <v>108</v>
      </c>
      <c r="AB300" t="s">
        <v>21</v>
      </c>
    </row>
    <row r="301" spans="1:32">
      <c r="A301" s="8">
        <v>2004</v>
      </c>
      <c r="B301" s="8">
        <v>64</v>
      </c>
      <c r="C301" s="8"/>
      <c r="D301" s="8" t="s">
        <v>60</v>
      </c>
      <c r="F301" t="s">
        <v>61</v>
      </c>
      <c r="G301" s="8" t="s">
        <v>192</v>
      </c>
      <c r="H301" s="8" t="s">
        <v>195</v>
      </c>
      <c r="I301" s="8" t="s">
        <v>152</v>
      </c>
      <c r="J301" s="8" t="s">
        <v>184</v>
      </c>
      <c r="K301" s="8" t="s">
        <v>41</v>
      </c>
      <c r="L301" s="8" t="s">
        <v>35</v>
      </c>
      <c r="M301" s="8" t="s">
        <v>37</v>
      </c>
      <c r="N301" s="8"/>
      <c r="O301">
        <v>0</v>
      </c>
      <c r="P301">
        <v>1</v>
      </c>
      <c r="Q301">
        <v>0</v>
      </c>
      <c r="R301">
        <v>0</v>
      </c>
      <c r="S301">
        <v>0</v>
      </c>
      <c r="T301">
        <v>0</v>
      </c>
      <c r="U301">
        <v>0</v>
      </c>
      <c r="V301">
        <v>0</v>
      </c>
      <c r="W301" s="8">
        <v>1</v>
      </c>
      <c r="X301">
        <v>1</v>
      </c>
      <c r="Y301">
        <v>0</v>
      </c>
      <c r="Z301" s="8" t="s">
        <v>320</v>
      </c>
      <c r="AA301" s="8" t="s">
        <v>108</v>
      </c>
      <c r="AB301" t="s">
        <v>21</v>
      </c>
    </row>
    <row r="302" spans="1:32">
      <c r="A302" s="8">
        <v>2004</v>
      </c>
      <c r="B302" s="8">
        <v>64</v>
      </c>
      <c r="C302" s="8"/>
      <c r="D302" s="8" t="s">
        <v>60</v>
      </c>
      <c r="F302" t="s">
        <v>61</v>
      </c>
      <c r="G302" s="8" t="s">
        <v>152</v>
      </c>
      <c r="H302" s="8" t="s">
        <v>184</v>
      </c>
      <c r="I302" s="8" t="s">
        <v>152</v>
      </c>
      <c r="J302" s="8" t="s">
        <v>184</v>
      </c>
      <c r="K302" s="8" t="s">
        <v>41</v>
      </c>
      <c r="L302" s="8" t="s">
        <v>35</v>
      </c>
      <c r="M302" s="8" t="s">
        <v>37</v>
      </c>
      <c r="N302" s="8"/>
      <c r="O302">
        <v>0</v>
      </c>
      <c r="P302">
        <v>1</v>
      </c>
      <c r="Q302">
        <v>1</v>
      </c>
      <c r="R302">
        <v>0</v>
      </c>
      <c r="S302">
        <v>0</v>
      </c>
      <c r="T302">
        <v>0</v>
      </c>
      <c r="U302">
        <v>0</v>
      </c>
      <c r="V302">
        <v>0</v>
      </c>
      <c r="W302" s="8">
        <v>1</v>
      </c>
      <c r="X302">
        <v>1</v>
      </c>
      <c r="Y302">
        <v>0</v>
      </c>
      <c r="Z302" s="8" t="s">
        <v>320</v>
      </c>
      <c r="AA302" s="8" t="s">
        <v>108</v>
      </c>
      <c r="AB302" t="s">
        <v>21</v>
      </c>
      <c r="AC302" s="10" t="s">
        <v>318</v>
      </c>
      <c r="AD302" t="s">
        <v>323</v>
      </c>
      <c r="AF302" t="s">
        <v>341</v>
      </c>
    </row>
    <row r="303" spans="1:32">
      <c r="A303" s="8">
        <v>2004</v>
      </c>
      <c r="B303" s="8">
        <v>64</v>
      </c>
      <c r="C303" s="8"/>
      <c r="D303" s="8" t="s">
        <v>60</v>
      </c>
      <c r="F303" t="s">
        <v>61</v>
      </c>
      <c r="G303" s="8" t="s">
        <v>202</v>
      </c>
      <c r="H303" s="8" t="s">
        <v>205</v>
      </c>
      <c r="I303" s="8" t="s">
        <v>152</v>
      </c>
      <c r="J303" s="8" t="s">
        <v>184</v>
      </c>
      <c r="K303" s="8" t="s">
        <v>41</v>
      </c>
      <c r="L303" s="8" t="s">
        <v>35</v>
      </c>
      <c r="M303" s="8" t="s">
        <v>37</v>
      </c>
      <c r="N303" s="8"/>
      <c r="O303">
        <v>0</v>
      </c>
      <c r="P303">
        <v>1</v>
      </c>
      <c r="Q303">
        <v>0</v>
      </c>
      <c r="R303">
        <v>0</v>
      </c>
      <c r="S303">
        <v>0</v>
      </c>
      <c r="T303">
        <v>0</v>
      </c>
      <c r="U303">
        <v>1</v>
      </c>
      <c r="V303">
        <v>0</v>
      </c>
      <c r="W303" s="8">
        <v>1</v>
      </c>
      <c r="X303">
        <v>1</v>
      </c>
      <c r="Y303">
        <v>0</v>
      </c>
      <c r="Z303" s="8" t="s">
        <v>320</v>
      </c>
      <c r="AA303" s="8" t="s">
        <v>108</v>
      </c>
      <c r="AB303" t="s">
        <v>21</v>
      </c>
      <c r="AC303" s="10" t="s">
        <v>353</v>
      </c>
      <c r="AD303" t="s">
        <v>321</v>
      </c>
      <c r="AF303" t="s">
        <v>322</v>
      </c>
    </row>
    <row r="304" spans="1:32">
      <c r="A304" s="8">
        <v>2004</v>
      </c>
      <c r="B304" s="8">
        <v>64</v>
      </c>
      <c r="C304" s="8"/>
      <c r="D304" s="8" t="s">
        <v>60</v>
      </c>
      <c r="F304" t="s">
        <v>61</v>
      </c>
      <c r="G304" s="8" t="s">
        <v>193</v>
      </c>
      <c r="H304" s="8" t="s">
        <v>185</v>
      </c>
      <c r="I304" s="8" t="s">
        <v>152</v>
      </c>
      <c r="J304" s="8" t="s">
        <v>184</v>
      </c>
      <c r="K304" s="8" t="s">
        <v>41</v>
      </c>
      <c r="L304" s="8" t="s">
        <v>35</v>
      </c>
      <c r="M304" s="8" t="s">
        <v>37</v>
      </c>
      <c r="N304" s="8"/>
      <c r="O304">
        <v>0</v>
      </c>
      <c r="P304">
        <v>1</v>
      </c>
      <c r="Q304">
        <v>0</v>
      </c>
      <c r="R304">
        <v>0</v>
      </c>
      <c r="S304">
        <v>0</v>
      </c>
      <c r="T304">
        <v>0</v>
      </c>
      <c r="U304">
        <v>1</v>
      </c>
      <c r="V304">
        <v>0</v>
      </c>
      <c r="W304" s="8">
        <v>1</v>
      </c>
      <c r="X304">
        <v>1</v>
      </c>
      <c r="Y304">
        <v>0</v>
      </c>
      <c r="Z304" s="8" t="s">
        <v>320</v>
      </c>
      <c r="AA304" s="8" t="s">
        <v>108</v>
      </c>
      <c r="AB304" t="s">
        <v>21</v>
      </c>
      <c r="AC304" s="10" t="s">
        <v>354</v>
      </c>
      <c r="AD304" t="s">
        <v>321</v>
      </c>
      <c r="AF304" t="s">
        <v>322</v>
      </c>
    </row>
    <row r="305" spans="1:34">
      <c r="A305" s="8">
        <v>2004</v>
      </c>
      <c r="B305" s="8">
        <v>64</v>
      </c>
      <c r="C305" s="8"/>
      <c r="D305" s="8" t="s">
        <v>60</v>
      </c>
      <c r="F305" t="s">
        <v>61</v>
      </c>
      <c r="G305" s="8" t="s">
        <v>203</v>
      </c>
      <c r="H305" s="8" t="s">
        <v>206</v>
      </c>
      <c r="I305" s="8" t="s">
        <v>152</v>
      </c>
      <c r="J305" s="8" t="s">
        <v>184</v>
      </c>
      <c r="K305" s="8" t="s">
        <v>41</v>
      </c>
      <c r="L305" s="8" t="s">
        <v>35</v>
      </c>
      <c r="M305" s="8" t="s">
        <v>37</v>
      </c>
      <c r="N305" s="8"/>
      <c r="O305">
        <v>0</v>
      </c>
      <c r="P305">
        <v>1</v>
      </c>
      <c r="Q305">
        <v>0</v>
      </c>
      <c r="R305">
        <v>0</v>
      </c>
      <c r="S305">
        <v>0</v>
      </c>
      <c r="T305">
        <v>0</v>
      </c>
      <c r="U305">
        <v>0</v>
      </c>
      <c r="V305">
        <v>0</v>
      </c>
      <c r="W305" s="8">
        <v>1</v>
      </c>
      <c r="X305">
        <v>1</v>
      </c>
      <c r="Y305">
        <v>0</v>
      </c>
      <c r="Z305" s="8" t="s">
        <v>320</v>
      </c>
      <c r="AA305" s="8" t="s">
        <v>108</v>
      </c>
      <c r="AB305" t="s">
        <v>21</v>
      </c>
    </row>
    <row r="306" spans="1:34">
      <c r="A306" s="8">
        <v>2004</v>
      </c>
      <c r="B306" s="8">
        <v>64</v>
      </c>
      <c r="C306" s="8"/>
      <c r="D306" s="8" t="s">
        <v>60</v>
      </c>
      <c r="F306" t="s">
        <v>61</v>
      </c>
      <c r="G306" s="8" t="s">
        <v>204</v>
      </c>
      <c r="H306" s="8" t="s">
        <v>207</v>
      </c>
      <c r="I306" s="8" t="s">
        <v>152</v>
      </c>
      <c r="J306" s="8" t="s">
        <v>184</v>
      </c>
      <c r="K306" s="8" t="s">
        <v>41</v>
      </c>
      <c r="L306" s="8" t="s">
        <v>35</v>
      </c>
      <c r="M306" s="8" t="s">
        <v>37</v>
      </c>
      <c r="N306" s="8"/>
      <c r="O306">
        <v>0</v>
      </c>
      <c r="P306">
        <v>1</v>
      </c>
      <c r="Q306">
        <v>0</v>
      </c>
      <c r="R306">
        <v>0</v>
      </c>
      <c r="S306">
        <v>0</v>
      </c>
      <c r="T306">
        <v>0</v>
      </c>
      <c r="U306">
        <v>0</v>
      </c>
      <c r="V306">
        <v>0</v>
      </c>
      <c r="W306" s="8">
        <v>1</v>
      </c>
      <c r="X306">
        <v>1</v>
      </c>
      <c r="Y306">
        <v>0</v>
      </c>
      <c r="Z306" s="8" t="s">
        <v>320</v>
      </c>
      <c r="AA306" s="8" t="s">
        <v>108</v>
      </c>
      <c r="AB306" t="s">
        <v>21</v>
      </c>
    </row>
    <row r="307" spans="1:34">
      <c r="A307" s="8">
        <v>2004</v>
      </c>
      <c r="B307" s="8">
        <v>64</v>
      </c>
      <c r="C307" s="8"/>
      <c r="D307" s="8" t="s">
        <v>60</v>
      </c>
      <c r="F307" t="s">
        <v>61</v>
      </c>
      <c r="G307" s="8" t="s">
        <v>37</v>
      </c>
      <c r="H307" s="8"/>
      <c r="I307" s="8" t="s">
        <v>152</v>
      </c>
      <c r="J307" s="8" t="s">
        <v>184</v>
      </c>
      <c r="K307" s="8" t="s">
        <v>41</v>
      </c>
      <c r="L307" s="8" t="s">
        <v>35</v>
      </c>
      <c r="M307" s="8" t="s">
        <v>37</v>
      </c>
      <c r="N307" s="8"/>
      <c r="O307">
        <v>0</v>
      </c>
      <c r="P307">
        <v>1</v>
      </c>
      <c r="Q307">
        <v>1</v>
      </c>
      <c r="R307">
        <v>0</v>
      </c>
      <c r="S307">
        <v>0</v>
      </c>
      <c r="T307">
        <v>0</v>
      </c>
      <c r="U307">
        <v>1</v>
      </c>
      <c r="V307">
        <v>0</v>
      </c>
      <c r="W307" s="8">
        <v>1</v>
      </c>
      <c r="X307">
        <v>1</v>
      </c>
      <c r="Y307">
        <v>0</v>
      </c>
      <c r="Z307" s="8" t="s">
        <v>320</v>
      </c>
      <c r="AA307" s="8" t="s">
        <v>108</v>
      </c>
      <c r="AC307" s="15" t="s">
        <v>319</v>
      </c>
      <c r="AD307" t="s">
        <v>321</v>
      </c>
      <c r="AF307" t="s">
        <v>322</v>
      </c>
      <c r="AH307" t="s">
        <v>323</v>
      </c>
    </row>
    <row r="308" spans="1:34">
      <c r="A308" s="8">
        <v>2004</v>
      </c>
      <c r="B308" s="8">
        <v>64</v>
      </c>
      <c r="C308" s="8"/>
      <c r="D308" s="8" t="s">
        <v>60</v>
      </c>
      <c r="F308" t="s">
        <v>61</v>
      </c>
      <c r="G308" s="8" t="s">
        <v>324</v>
      </c>
      <c r="H308" s="8" t="s">
        <v>332</v>
      </c>
      <c r="I308" s="8" t="s">
        <v>152</v>
      </c>
      <c r="J308" s="8" t="s">
        <v>184</v>
      </c>
      <c r="K308" s="8" t="s">
        <v>41</v>
      </c>
      <c r="L308" s="8" t="s">
        <v>35</v>
      </c>
      <c r="M308" s="8" t="s">
        <v>37</v>
      </c>
      <c r="N308" s="8"/>
      <c r="O308">
        <v>0</v>
      </c>
      <c r="P308">
        <v>1</v>
      </c>
      <c r="Q308">
        <v>0</v>
      </c>
      <c r="R308">
        <v>0</v>
      </c>
      <c r="S308">
        <v>0</v>
      </c>
      <c r="T308">
        <v>0</v>
      </c>
      <c r="U308">
        <v>1</v>
      </c>
      <c r="V308">
        <v>0</v>
      </c>
      <c r="W308" s="8">
        <v>1</v>
      </c>
      <c r="X308">
        <v>1</v>
      </c>
      <c r="Y308">
        <v>0</v>
      </c>
      <c r="Z308" s="8" t="s">
        <v>320</v>
      </c>
      <c r="AA308" s="8" t="s">
        <v>108</v>
      </c>
      <c r="AC308" s="10" t="s">
        <v>342</v>
      </c>
      <c r="AD308" t="s">
        <v>341</v>
      </c>
      <c r="AF308" t="s">
        <v>323</v>
      </c>
    </row>
    <row r="309" spans="1:34">
      <c r="A309" s="8">
        <v>2004</v>
      </c>
      <c r="B309" s="8">
        <v>64</v>
      </c>
      <c r="C309" s="8"/>
      <c r="D309" s="8" t="s">
        <v>60</v>
      </c>
      <c r="F309" t="s">
        <v>61</v>
      </c>
      <c r="G309" s="8" t="s">
        <v>325</v>
      </c>
      <c r="H309" s="8" t="s">
        <v>333</v>
      </c>
      <c r="I309" s="8" t="s">
        <v>152</v>
      </c>
      <c r="J309" s="8" t="s">
        <v>184</v>
      </c>
      <c r="K309" s="8" t="s">
        <v>41</v>
      </c>
      <c r="L309" s="8" t="s">
        <v>35</v>
      </c>
      <c r="M309" s="8" t="s">
        <v>37</v>
      </c>
      <c r="N309" s="8"/>
      <c r="O309">
        <v>0</v>
      </c>
      <c r="P309">
        <v>1</v>
      </c>
      <c r="Q309">
        <v>0</v>
      </c>
      <c r="R309">
        <v>0</v>
      </c>
      <c r="S309">
        <v>0</v>
      </c>
      <c r="T309">
        <v>0</v>
      </c>
      <c r="U309">
        <v>1</v>
      </c>
      <c r="V309">
        <v>0</v>
      </c>
      <c r="W309" s="8">
        <v>1</v>
      </c>
      <c r="X309">
        <v>1</v>
      </c>
      <c r="Y309">
        <v>0</v>
      </c>
      <c r="Z309" s="8" t="s">
        <v>320</v>
      </c>
      <c r="AA309" s="8" t="s">
        <v>108</v>
      </c>
      <c r="AC309" s="10" t="s">
        <v>343</v>
      </c>
      <c r="AD309" t="s">
        <v>341</v>
      </c>
      <c r="AF309" t="s">
        <v>323</v>
      </c>
    </row>
    <row r="310" spans="1:34">
      <c r="A310" s="8">
        <v>2004</v>
      </c>
      <c r="B310" s="8">
        <v>64</v>
      </c>
      <c r="C310" s="8"/>
      <c r="D310" s="8" t="s">
        <v>60</v>
      </c>
      <c r="F310" t="s">
        <v>61</v>
      </c>
      <c r="G310" s="8" t="s">
        <v>326</v>
      </c>
      <c r="H310" s="8" t="s">
        <v>334</v>
      </c>
      <c r="I310" s="8" t="s">
        <v>152</v>
      </c>
      <c r="J310" s="8" t="s">
        <v>184</v>
      </c>
      <c r="K310" s="8" t="s">
        <v>41</v>
      </c>
      <c r="L310" s="8" t="s">
        <v>35</v>
      </c>
      <c r="M310" s="8" t="s">
        <v>37</v>
      </c>
      <c r="N310" s="8"/>
      <c r="O310">
        <v>0</v>
      </c>
      <c r="P310">
        <v>1</v>
      </c>
      <c r="Q310">
        <v>0</v>
      </c>
      <c r="R310">
        <v>0</v>
      </c>
      <c r="S310">
        <v>0</v>
      </c>
      <c r="T310">
        <v>0</v>
      </c>
      <c r="U310">
        <v>1</v>
      </c>
      <c r="V310">
        <v>0</v>
      </c>
      <c r="W310" s="8">
        <v>1</v>
      </c>
      <c r="X310">
        <v>1</v>
      </c>
      <c r="Y310">
        <v>0</v>
      </c>
      <c r="Z310" s="8" t="s">
        <v>320</v>
      </c>
      <c r="AA310" s="8" t="s">
        <v>108</v>
      </c>
      <c r="AC310" s="10" t="s">
        <v>344</v>
      </c>
      <c r="AD310" t="s">
        <v>341</v>
      </c>
      <c r="AF310" t="s">
        <v>323</v>
      </c>
    </row>
    <row r="311" spans="1:34">
      <c r="A311" s="8">
        <v>2004</v>
      </c>
      <c r="B311" s="8">
        <v>64</v>
      </c>
      <c r="C311" s="8"/>
      <c r="D311" s="8" t="s">
        <v>60</v>
      </c>
      <c r="F311" t="s">
        <v>61</v>
      </c>
      <c r="G311" s="8" t="s">
        <v>327</v>
      </c>
      <c r="H311" s="8" t="s">
        <v>335</v>
      </c>
      <c r="I311" s="8" t="s">
        <v>152</v>
      </c>
      <c r="J311" s="8" t="s">
        <v>184</v>
      </c>
      <c r="K311" s="8" t="s">
        <v>41</v>
      </c>
      <c r="L311" s="8" t="s">
        <v>35</v>
      </c>
      <c r="M311" s="8" t="s">
        <v>37</v>
      </c>
      <c r="N311" s="8"/>
      <c r="O311">
        <v>0</v>
      </c>
      <c r="P311">
        <v>1</v>
      </c>
      <c r="Q311">
        <v>0</v>
      </c>
      <c r="R311">
        <v>0</v>
      </c>
      <c r="S311">
        <v>0</v>
      </c>
      <c r="T311">
        <v>0</v>
      </c>
      <c r="U311">
        <v>1</v>
      </c>
      <c r="V311">
        <v>0</v>
      </c>
      <c r="W311" s="8">
        <v>1</v>
      </c>
      <c r="X311">
        <v>1</v>
      </c>
      <c r="Y311">
        <v>0</v>
      </c>
      <c r="Z311" s="8" t="s">
        <v>320</v>
      </c>
      <c r="AA311" s="8" t="s">
        <v>108</v>
      </c>
      <c r="AC311" s="10" t="s">
        <v>345</v>
      </c>
      <c r="AD311" t="s">
        <v>341</v>
      </c>
      <c r="AF311" t="s">
        <v>323</v>
      </c>
    </row>
    <row r="312" spans="1:34">
      <c r="A312" s="8">
        <v>2004</v>
      </c>
      <c r="B312" s="8">
        <v>64</v>
      </c>
      <c r="C312" s="8"/>
      <c r="D312" s="8" t="s">
        <v>60</v>
      </c>
      <c r="F312" t="s">
        <v>61</v>
      </c>
      <c r="G312" s="8" t="s">
        <v>222</v>
      </c>
      <c r="H312" s="8" t="s">
        <v>227</v>
      </c>
      <c r="I312" s="8" t="s">
        <v>152</v>
      </c>
      <c r="J312" s="8" t="s">
        <v>184</v>
      </c>
      <c r="K312" s="8" t="s">
        <v>41</v>
      </c>
      <c r="L312" s="8" t="s">
        <v>35</v>
      </c>
      <c r="M312" s="8" t="s">
        <v>37</v>
      </c>
      <c r="N312" s="8"/>
      <c r="O312">
        <v>0</v>
      </c>
      <c r="P312">
        <v>1</v>
      </c>
      <c r="Q312">
        <v>0</v>
      </c>
      <c r="R312">
        <v>0</v>
      </c>
      <c r="S312">
        <v>0</v>
      </c>
      <c r="T312">
        <v>0</v>
      </c>
      <c r="U312">
        <v>1</v>
      </c>
      <c r="V312">
        <v>0</v>
      </c>
      <c r="W312" s="8">
        <v>1</v>
      </c>
      <c r="X312">
        <v>1</v>
      </c>
      <c r="Y312">
        <v>0</v>
      </c>
      <c r="Z312" s="8" t="s">
        <v>320</v>
      </c>
      <c r="AA312" s="8" t="s">
        <v>108</v>
      </c>
      <c r="AC312" s="10" t="s">
        <v>346</v>
      </c>
      <c r="AD312" t="s">
        <v>341</v>
      </c>
      <c r="AF312" t="s">
        <v>323</v>
      </c>
    </row>
    <row r="313" spans="1:34">
      <c r="A313" s="8">
        <v>2004</v>
      </c>
      <c r="B313" s="8">
        <v>64</v>
      </c>
      <c r="C313" s="8"/>
      <c r="D313" s="8" t="s">
        <v>60</v>
      </c>
      <c r="F313" t="s">
        <v>61</v>
      </c>
      <c r="G313" s="8" t="s">
        <v>223</v>
      </c>
      <c r="H313" s="8" t="s">
        <v>228</v>
      </c>
      <c r="I313" s="8" t="s">
        <v>152</v>
      </c>
      <c r="J313" s="8" t="s">
        <v>184</v>
      </c>
      <c r="K313" s="8" t="s">
        <v>41</v>
      </c>
      <c r="L313" s="8" t="s">
        <v>35</v>
      </c>
      <c r="M313" s="8" t="s">
        <v>37</v>
      </c>
      <c r="N313" s="8"/>
      <c r="O313">
        <v>0</v>
      </c>
      <c r="P313">
        <v>1</v>
      </c>
      <c r="Q313">
        <v>0</v>
      </c>
      <c r="R313">
        <v>0</v>
      </c>
      <c r="S313">
        <v>0</v>
      </c>
      <c r="T313">
        <v>0</v>
      </c>
      <c r="U313">
        <v>1</v>
      </c>
      <c r="V313">
        <v>0</v>
      </c>
      <c r="W313" s="8">
        <v>1</v>
      </c>
      <c r="X313">
        <v>1</v>
      </c>
      <c r="Y313">
        <v>0</v>
      </c>
      <c r="Z313" s="8" t="s">
        <v>320</v>
      </c>
      <c r="AA313" s="8" t="s">
        <v>108</v>
      </c>
      <c r="AC313" s="10" t="s">
        <v>347</v>
      </c>
      <c r="AD313" t="s">
        <v>341</v>
      </c>
      <c r="AF313" t="s">
        <v>323</v>
      </c>
    </row>
    <row r="314" spans="1:34">
      <c r="A314" s="8">
        <v>2004</v>
      </c>
      <c r="B314" s="8">
        <v>64</v>
      </c>
      <c r="C314" s="8"/>
      <c r="D314" s="8" t="s">
        <v>60</v>
      </c>
      <c r="F314" t="s">
        <v>61</v>
      </c>
      <c r="G314" s="8" t="s">
        <v>328</v>
      </c>
      <c r="H314" s="8" t="s">
        <v>336</v>
      </c>
      <c r="I314" s="8" t="s">
        <v>152</v>
      </c>
      <c r="J314" s="8" t="s">
        <v>184</v>
      </c>
      <c r="K314" s="8" t="s">
        <v>41</v>
      </c>
      <c r="L314" s="8" t="s">
        <v>35</v>
      </c>
      <c r="M314" s="8" t="s">
        <v>37</v>
      </c>
      <c r="N314" s="8"/>
      <c r="O314">
        <v>0</v>
      </c>
      <c r="P314">
        <v>1</v>
      </c>
      <c r="Q314">
        <v>0</v>
      </c>
      <c r="R314">
        <v>0</v>
      </c>
      <c r="S314">
        <v>0</v>
      </c>
      <c r="T314">
        <v>0</v>
      </c>
      <c r="U314">
        <v>1</v>
      </c>
      <c r="V314">
        <v>0</v>
      </c>
      <c r="W314" s="8">
        <v>1</v>
      </c>
      <c r="X314">
        <v>1</v>
      </c>
      <c r="Y314">
        <v>0</v>
      </c>
      <c r="Z314" s="8" t="s">
        <v>320</v>
      </c>
      <c r="AA314" s="8" t="s">
        <v>108</v>
      </c>
      <c r="AC314" s="10" t="s">
        <v>348</v>
      </c>
      <c r="AD314" t="s">
        <v>341</v>
      </c>
      <c r="AF314" t="s">
        <v>323</v>
      </c>
    </row>
    <row r="315" spans="1:34">
      <c r="A315" s="8">
        <v>2004</v>
      </c>
      <c r="B315" s="8">
        <v>64</v>
      </c>
      <c r="C315" s="8"/>
      <c r="D315" s="8" t="s">
        <v>60</v>
      </c>
      <c r="F315" t="s">
        <v>61</v>
      </c>
      <c r="G315" s="8" t="s">
        <v>329</v>
      </c>
      <c r="H315" s="8" t="s">
        <v>337</v>
      </c>
      <c r="I315" s="8" t="s">
        <v>152</v>
      </c>
      <c r="J315" s="8" t="s">
        <v>184</v>
      </c>
      <c r="K315" s="8" t="s">
        <v>41</v>
      </c>
      <c r="L315" s="8" t="s">
        <v>35</v>
      </c>
      <c r="M315" s="8" t="s">
        <v>37</v>
      </c>
      <c r="N315" s="8"/>
      <c r="O315">
        <v>0</v>
      </c>
      <c r="P315">
        <v>1</v>
      </c>
      <c r="Q315">
        <v>0</v>
      </c>
      <c r="R315">
        <v>0</v>
      </c>
      <c r="S315">
        <v>0</v>
      </c>
      <c r="T315">
        <v>0</v>
      </c>
      <c r="U315">
        <v>1</v>
      </c>
      <c r="V315">
        <v>0</v>
      </c>
      <c r="W315" s="8">
        <v>1</v>
      </c>
      <c r="X315">
        <v>1</v>
      </c>
      <c r="Y315">
        <v>0</v>
      </c>
      <c r="Z315" s="8" t="s">
        <v>320</v>
      </c>
      <c r="AA315" s="8" t="s">
        <v>108</v>
      </c>
      <c r="AC315" s="10" t="s">
        <v>349</v>
      </c>
      <c r="AD315" t="s">
        <v>341</v>
      </c>
      <c r="AF315" t="s">
        <v>323</v>
      </c>
    </row>
    <row r="316" spans="1:34">
      <c r="A316" s="8">
        <v>2004</v>
      </c>
      <c r="B316" s="8">
        <v>64</v>
      </c>
      <c r="C316" s="8"/>
      <c r="D316" s="8" t="s">
        <v>60</v>
      </c>
      <c r="F316" t="s">
        <v>61</v>
      </c>
      <c r="G316" s="8" t="s">
        <v>330</v>
      </c>
      <c r="H316" s="8" t="s">
        <v>338</v>
      </c>
      <c r="I316" s="8" t="s">
        <v>152</v>
      </c>
      <c r="J316" s="8" t="s">
        <v>184</v>
      </c>
      <c r="K316" s="8" t="s">
        <v>41</v>
      </c>
      <c r="L316" s="8" t="s">
        <v>35</v>
      </c>
      <c r="M316" s="8" t="s">
        <v>37</v>
      </c>
      <c r="N316" s="8"/>
      <c r="O316">
        <v>0</v>
      </c>
      <c r="P316">
        <v>1</v>
      </c>
      <c r="Q316">
        <v>0</v>
      </c>
      <c r="R316">
        <v>0</v>
      </c>
      <c r="S316">
        <v>0</v>
      </c>
      <c r="T316">
        <v>0</v>
      </c>
      <c r="U316">
        <v>1</v>
      </c>
      <c r="V316">
        <v>0</v>
      </c>
      <c r="W316" s="8">
        <v>1</v>
      </c>
      <c r="X316">
        <v>1</v>
      </c>
      <c r="Y316">
        <v>0</v>
      </c>
      <c r="Z316" s="8" t="s">
        <v>320</v>
      </c>
      <c r="AA316" s="8" t="s">
        <v>108</v>
      </c>
      <c r="AC316" s="10" t="s">
        <v>350</v>
      </c>
      <c r="AD316" t="s">
        <v>341</v>
      </c>
      <c r="AF316" t="s">
        <v>323</v>
      </c>
    </row>
    <row r="317" spans="1:34">
      <c r="A317" s="8">
        <v>2004</v>
      </c>
      <c r="B317" s="8">
        <v>64</v>
      </c>
      <c r="C317" s="8"/>
      <c r="D317" s="8" t="s">
        <v>60</v>
      </c>
      <c r="F317" t="s">
        <v>61</v>
      </c>
      <c r="G317" s="8" t="s">
        <v>62</v>
      </c>
      <c r="H317" s="8" t="s">
        <v>63</v>
      </c>
      <c r="I317" s="8" t="s">
        <v>152</v>
      </c>
      <c r="J317" s="8" t="s">
        <v>184</v>
      </c>
      <c r="K317" s="8" t="s">
        <v>41</v>
      </c>
      <c r="L317" s="8" t="s">
        <v>35</v>
      </c>
      <c r="M317" s="8" t="s">
        <v>37</v>
      </c>
      <c r="N317" s="8"/>
      <c r="O317">
        <v>0</v>
      </c>
      <c r="P317">
        <v>1</v>
      </c>
      <c r="Q317">
        <v>0</v>
      </c>
      <c r="R317">
        <v>0</v>
      </c>
      <c r="S317">
        <v>0</v>
      </c>
      <c r="T317">
        <v>0</v>
      </c>
      <c r="U317">
        <v>1</v>
      </c>
      <c r="V317">
        <v>0</v>
      </c>
      <c r="W317" s="8">
        <v>1</v>
      </c>
      <c r="X317">
        <v>1</v>
      </c>
      <c r="Y317">
        <v>0</v>
      </c>
      <c r="Z317" s="8" t="s">
        <v>320</v>
      </c>
      <c r="AA317" s="8" t="s">
        <v>108</v>
      </c>
      <c r="AC317" s="10" t="s">
        <v>351</v>
      </c>
      <c r="AD317" t="s">
        <v>341</v>
      </c>
      <c r="AF317" t="s">
        <v>323</v>
      </c>
    </row>
    <row r="318" spans="1:34">
      <c r="A318" s="8">
        <v>2004</v>
      </c>
      <c r="B318" s="8">
        <v>64</v>
      </c>
      <c r="C318" s="8"/>
      <c r="D318" s="8" t="s">
        <v>60</v>
      </c>
      <c r="F318" t="s">
        <v>61</v>
      </c>
      <c r="G318" s="8" t="s">
        <v>331</v>
      </c>
      <c r="H318" s="8" t="s">
        <v>339</v>
      </c>
      <c r="I318" s="8" t="s">
        <v>152</v>
      </c>
      <c r="J318" s="8" t="s">
        <v>184</v>
      </c>
      <c r="K318" s="8" t="s">
        <v>41</v>
      </c>
      <c r="L318" s="8" t="s">
        <v>35</v>
      </c>
      <c r="M318" s="8" t="s">
        <v>37</v>
      </c>
      <c r="N318" s="8"/>
      <c r="O318">
        <v>0</v>
      </c>
      <c r="P318">
        <v>1</v>
      </c>
      <c r="Q318">
        <v>0</v>
      </c>
      <c r="R318">
        <v>0</v>
      </c>
      <c r="S318">
        <v>0</v>
      </c>
      <c r="T318">
        <v>0</v>
      </c>
      <c r="U318">
        <v>1</v>
      </c>
      <c r="V318">
        <v>0</v>
      </c>
      <c r="W318" s="8">
        <v>1</v>
      </c>
      <c r="X318">
        <v>1</v>
      </c>
      <c r="Y318">
        <v>0</v>
      </c>
      <c r="Z318" s="8" t="s">
        <v>320</v>
      </c>
      <c r="AA318" s="8" t="s">
        <v>108</v>
      </c>
      <c r="AC318" s="10" t="s">
        <v>352</v>
      </c>
      <c r="AD318" t="s">
        <v>341</v>
      </c>
      <c r="AF318" t="s">
        <v>323</v>
      </c>
    </row>
    <row r="319" spans="1:34">
      <c r="A319" s="8">
        <v>2004</v>
      </c>
      <c r="B319" s="8">
        <v>65</v>
      </c>
      <c r="C319" s="8"/>
      <c r="D319" s="8" t="s">
        <v>60</v>
      </c>
      <c r="F319" t="s">
        <v>61</v>
      </c>
      <c r="G319" s="8" t="s">
        <v>35</v>
      </c>
      <c r="I319" s="8" t="s">
        <v>152</v>
      </c>
      <c r="J319" t="s">
        <v>184</v>
      </c>
      <c r="K319" s="8" t="s">
        <v>41</v>
      </c>
      <c r="L319" s="8" t="s">
        <v>35</v>
      </c>
      <c r="M319" s="8"/>
      <c r="N319" s="8"/>
      <c r="O319">
        <v>0</v>
      </c>
      <c r="P319">
        <v>1</v>
      </c>
      <c r="Q319">
        <v>1</v>
      </c>
      <c r="R319">
        <v>0</v>
      </c>
      <c r="S319">
        <v>0</v>
      </c>
      <c r="T319">
        <v>1</v>
      </c>
      <c r="U319">
        <v>1</v>
      </c>
      <c r="V319">
        <v>0</v>
      </c>
      <c r="W319" s="8">
        <v>1</v>
      </c>
      <c r="X319">
        <v>0</v>
      </c>
      <c r="Y319">
        <v>1</v>
      </c>
      <c r="Z319" s="8" t="s">
        <v>164</v>
      </c>
      <c r="AA319" s="8" t="s">
        <v>109</v>
      </c>
      <c r="AB319" t="s">
        <v>21</v>
      </c>
      <c r="AD319" t="s">
        <v>355</v>
      </c>
    </row>
    <row r="320" spans="1:34">
      <c r="A320" s="8">
        <v>2004</v>
      </c>
      <c r="B320" s="8">
        <v>65</v>
      </c>
      <c r="C320" s="8"/>
      <c r="D320" s="8" t="s">
        <v>60</v>
      </c>
      <c r="F320" t="s">
        <v>61</v>
      </c>
      <c r="G320" s="8" t="s">
        <v>191</v>
      </c>
      <c r="H320" s="8" t="s">
        <v>194</v>
      </c>
      <c r="I320" s="8" t="s">
        <v>152</v>
      </c>
      <c r="J320" s="8" t="s">
        <v>184</v>
      </c>
      <c r="K320" s="8" t="s">
        <v>41</v>
      </c>
      <c r="L320" s="8" t="s">
        <v>35</v>
      </c>
      <c r="M320" s="8"/>
      <c r="N320" s="8"/>
      <c r="O320">
        <v>0</v>
      </c>
      <c r="P320">
        <v>1</v>
      </c>
      <c r="Q320">
        <v>0</v>
      </c>
      <c r="R320">
        <v>0</v>
      </c>
      <c r="S320">
        <v>0</v>
      </c>
      <c r="T320">
        <v>1</v>
      </c>
      <c r="U320">
        <v>0</v>
      </c>
      <c r="V320">
        <v>0</v>
      </c>
      <c r="W320" s="8">
        <v>1</v>
      </c>
      <c r="X320">
        <v>0</v>
      </c>
      <c r="Y320">
        <v>1</v>
      </c>
      <c r="Z320" s="8" t="s">
        <v>164</v>
      </c>
      <c r="AA320" s="8" t="s">
        <v>109</v>
      </c>
      <c r="AB320" t="s">
        <v>21</v>
      </c>
      <c r="AD320" t="s">
        <v>355</v>
      </c>
    </row>
    <row r="321" spans="1:36">
      <c r="A321" s="8">
        <v>2004</v>
      </c>
      <c r="B321" s="8">
        <v>65</v>
      </c>
      <c r="C321" s="8"/>
      <c r="D321" s="8" t="s">
        <v>60</v>
      </c>
      <c r="F321" t="s">
        <v>61</v>
      </c>
      <c r="G321" s="8" t="s">
        <v>22</v>
      </c>
      <c r="H321" s="8" t="s">
        <v>24</v>
      </c>
      <c r="I321" s="8" t="s">
        <v>152</v>
      </c>
      <c r="J321" s="8" t="s">
        <v>184</v>
      </c>
      <c r="K321" s="8" t="s">
        <v>41</v>
      </c>
      <c r="L321" s="8" t="s">
        <v>35</v>
      </c>
      <c r="M321" s="8"/>
      <c r="N321" s="8"/>
      <c r="O321">
        <v>0</v>
      </c>
      <c r="P321">
        <v>1</v>
      </c>
      <c r="Q321">
        <v>0</v>
      </c>
      <c r="R321">
        <v>0</v>
      </c>
      <c r="S321">
        <v>0</v>
      </c>
      <c r="T321">
        <v>1</v>
      </c>
      <c r="U321">
        <v>0</v>
      </c>
      <c r="V321">
        <v>0</v>
      </c>
      <c r="W321" s="8">
        <v>1</v>
      </c>
      <c r="X321">
        <v>0</v>
      </c>
      <c r="Y321">
        <v>1</v>
      </c>
      <c r="Z321" s="8" t="s">
        <v>164</v>
      </c>
      <c r="AA321" s="8" t="s">
        <v>109</v>
      </c>
      <c r="AB321" t="s">
        <v>21</v>
      </c>
      <c r="AD321" t="s">
        <v>355</v>
      </c>
    </row>
    <row r="322" spans="1:36">
      <c r="A322" s="8">
        <v>2004</v>
      </c>
      <c r="B322" s="8">
        <v>65</v>
      </c>
      <c r="C322" s="8"/>
      <c r="D322" s="8" t="s">
        <v>60</v>
      </c>
      <c r="F322" t="s">
        <v>61</v>
      </c>
      <c r="G322" s="8" t="s">
        <v>192</v>
      </c>
      <c r="H322" s="8" t="s">
        <v>195</v>
      </c>
      <c r="I322" s="8" t="s">
        <v>152</v>
      </c>
      <c r="J322" s="8" t="s">
        <v>184</v>
      </c>
      <c r="K322" s="8" t="s">
        <v>41</v>
      </c>
      <c r="L322" s="8" t="s">
        <v>35</v>
      </c>
      <c r="M322" s="8"/>
      <c r="N322" s="8"/>
      <c r="O322">
        <v>0</v>
      </c>
      <c r="P322">
        <v>1</v>
      </c>
      <c r="Q322">
        <v>0</v>
      </c>
      <c r="R322">
        <v>0</v>
      </c>
      <c r="S322">
        <v>0</v>
      </c>
      <c r="T322">
        <v>1</v>
      </c>
      <c r="U322">
        <v>0</v>
      </c>
      <c r="V322">
        <v>0</v>
      </c>
      <c r="W322" s="8">
        <v>1</v>
      </c>
      <c r="X322">
        <v>0</v>
      </c>
      <c r="Y322">
        <v>1</v>
      </c>
      <c r="Z322" s="8" t="s">
        <v>164</v>
      </c>
      <c r="AA322" s="8" t="s">
        <v>109</v>
      </c>
      <c r="AB322" t="s">
        <v>21</v>
      </c>
      <c r="AD322" t="s">
        <v>355</v>
      </c>
    </row>
    <row r="323" spans="1:36">
      <c r="A323" s="8">
        <v>2004</v>
      </c>
      <c r="B323" s="8">
        <v>65</v>
      </c>
      <c r="C323" s="8"/>
      <c r="D323" s="8" t="s">
        <v>60</v>
      </c>
      <c r="F323" t="s">
        <v>61</v>
      </c>
      <c r="G323" s="8" t="s">
        <v>152</v>
      </c>
      <c r="H323" s="8" t="s">
        <v>184</v>
      </c>
      <c r="I323" s="8" t="s">
        <v>152</v>
      </c>
      <c r="J323" s="8" t="s">
        <v>184</v>
      </c>
      <c r="K323" s="8" t="s">
        <v>41</v>
      </c>
      <c r="L323" s="8" t="s">
        <v>35</v>
      </c>
      <c r="M323" s="8"/>
      <c r="N323" s="8"/>
      <c r="O323">
        <v>0</v>
      </c>
      <c r="P323">
        <v>1</v>
      </c>
      <c r="Q323">
        <v>1</v>
      </c>
      <c r="R323">
        <v>0</v>
      </c>
      <c r="S323">
        <v>0</v>
      </c>
      <c r="T323">
        <v>1</v>
      </c>
      <c r="U323">
        <v>0</v>
      </c>
      <c r="V323">
        <v>0</v>
      </c>
      <c r="W323" s="8">
        <v>1</v>
      </c>
      <c r="X323">
        <v>0</v>
      </c>
      <c r="Y323">
        <v>1</v>
      </c>
      <c r="Z323" s="8" t="s">
        <v>164</v>
      </c>
      <c r="AA323" s="8" t="s">
        <v>109</v>
      </c>
      <c r="AB323" t="s">
        <v>21</v>
      </c>
      <c r="AC323" s="10" t="s">
        <v>318</v>
      </c>
      <c r="AD323" t="s">
        <v>355</v>
      </c>
    </row>
    <row r="324" spans="1:36">
      <c r="A324" s="8">
        <v>2004</v>
      </c>
      <c r="B324" s="8">
        <v>65</v>
      </c>
      <c r="C324" s="8"/>
      <c r="D324" s="8" t="s">
        <v>60</v>
      </c>
      <c r="F324" t="s">
        <v>61</v>
      </c>
      <c r="G324" s="8" t="s">
        <v>202</v>
      </c>
      <c r="H324" s="8" t="s">
        <v>205</v>
      </c>
      <c r="I324" s="8" t="s">
        <v>152</v>
      </c>
      <c r="J324" s="8" t="s">
        <v>184</v>
      </c>
      <c r="K324" s="8" t="s">
        <v>41</v>
      </c>
      <c r="L324" s="8" t="s">
        <v>35</v>
      </c>
      <c r="M324" s="8"/>
      <c r="N324" s="8"/>
      <c r="O324">
        <v>0</v>
      </c>
      <c r="P324">
        <v>1</v>
      </c>
      <c r="Q324">
        <v>0</v>
      </c>
      <c r="R324">
        <v>0</v>
      </c>
      <c r="S324">
        <v>0</v>
      </c>
      <c r="T324">
        <v>1</v>
      </c>
      <c r="U324">
        <v>0</v>
      </c>
      <c r="V324">
        <v>0</v>
      </c>
      <c r="W324" s="8">
        <v>1</v>
      </c>
      <c r="X324">
        <v>0</v>
      </c>
      <c r="Y324">
        <v>1</v>
      </c>
      <c r="Z324" s="8" t="s">
        <v>164</v>
      </c>
      <c r="AA324" s="8" t="s">
        <v>109</v>
      </c>
      <c r="AB324" t="s">
        <v>21</v>
      </c>
      <c r="AD324" t="s">
        <v>355</v>
      </c>
    </row>
    <row r="325" spans="1:36">
      <c r="A325" s="8">
        <v>2004</v>
      </c>
      <c r="B325" s="8">
        <v>65</v>
      </c>
      <c r="C325" s="8"/>
      <c r="D325" s="8" t="s">
        <v>60</v>
      </c>
      <c r="F325" t="s">
        <v>61</v>
      </c>
      <c r="G325" s="8" t="s">
        <v>193</v>
      </c>
      <c r="H325" s="8" t="s">
        <v>185</v>
      </c>
      <c r="I325" s="8" t="s">
        <v>152</v>
      </c>
      <c r="J325" s="8" t="s">
        <v>184</v>
      </c>
      <c r="K325" s="8" t="s">
        <v>41</v>
      </c>
      <c r="L325" s="8" t="s">
        <v>35</v>
      </c>
      <c r="M325" s="8"/>
      <c r="N325" s="8"/>
      <c r="O325">
        <v>0</v>
      </c>
      <c r="P325">
        <v>1</v>
      </c>
      <c r="Q325">
        <v>0</v>
      </c>
      <c r="R325">
        <v>0</v>
      </c>
      <c r="S325">
        <v>0</v>
      </c>
      <c r="T325">
        <v>1</v>
      </c>
      <c r="U325">
        <v>0</v>
      </c>
      <c r="V325">
        <v>0</v>
      </c>
      <c r="W325" s="8">
        <v>1</v>
      </c>
      <c r="X325">
        <v>0</v>
      </c>
      <c r="Y325">
        <v>1</v>
      </c>
      <c r="Z325" s="8" t="s">
        <v>164</v>
      </c>
      <c r="AA325" s="8" t="s">
        <v>109</v>
      </c>
      <c r="AB325" t="s">
        <v>21</v>
      </c>
      <c r="AD325" t="s">
        <v>355</v>
      </c>
    </row>
    <row r="326" spans="1:36">
      <c r="A326" s="8">
        <v>2004</v>
      </c>
      <c r="B326" s="8">
        <v>65</v>
      </c>
      <c r="C326" s="8"/>
      <c r="D326" s="8" t="s">
        <v>60</v>
      </c>
      <c r="F326" t="s">
        <v>61</v>
      </c>
      <c r="G326" s="8" t="s">
        <v>203</v>
      </c>
      <c r="H326" s="8" t="s">
        <v>206</v>
      </c>
      <c r="I326" s="8" t="s">
        <v>152</v>
      </c>
      <c r="J326" s="8" t="s">
        <v>184</v>
      </c>
      <c r="K326" s="8" t="s">
        <v>41</v>
      </c>
      <c r="L326" s="8" t="s">
        <v>35</v>
      </c>
      <c r="M326" s="8"/>
      <c r="N326" s="8"/>
      <c r="O326">
        <v>0</v>
      </c>
      <c r="P326">
        <v>1</v>
      </c>
      <c r="Q326">
        <v>0</v>
      </c>
      <c r="R326">
        <v>0</v>
      </c>
      <c r="S326">
        <v>0</v>
      </c>
      <c r="T326">
        <v>1</v>
      </c>
      <c r="U326">
        <v>0</v>
      </c>
      <c r="V326">
        <v>0</v>
      </c>
      <c r="W326" s="8">
        <v>1</v>
      </c>
      <c r="X326">
        <v>0</v>
      </c>
      <c r="Y326">
        <v>1</v>
      </c>
      <c r="Z326" s="8" t="s">
        <v>164</v>
      </c>
      <c r="AA326" s="8" t="s">
        <v>109</v>
      </c>
      <c r="AB326" t="s">
        <v>21</v>
      </c>
      <c r="AD326" t="s">
        <v>355</v>
      </c>
    </row>
    <row r="327" spans="1:36">
      <c r="A327" s="8">
        <v>2004</v>
      </c>
      <c r="B327" s="8">
        <v>65</v>
      </c>
      <c r="C327" s="8"/>
      <c r="D327" s="8" t="s">
        <v>60</v>
      </c>
      <c r="F327" t="s">
        <v>61</v>
      </c>
      <c r="G327" s="8" t="s">
        <v>204</v>
      </c>
      <c r="H327" s="8" t="s">
        <v>207</v>
      </c>
      <c r="I327" s="8" t="s">
        <v>152</v>
      </c>
      <c r="J327" s="8" t="s">
        <v>184</v>
      </c>
      <c r="K327" s="8" t="s">
        <v>41</v>
      </c>
      <c r="L327" s="8" t="s">
        <v>35</v>
      </c>
      <c r="M327" s="8"/>
      <c r="N327" s="8"/>
      <c r="O327">
        <v>0</v>
      </c>
      <c r="P327">
        <v>1</v>
      </c>
      <c r="Q327">
        <v>0</v>
      </c>
      <c r="R327">
        <v>0</v>
      </c>
      <c r="S327">
        <v>0</v>
      </c>
      <c r="T327">
        <v>1</v>
      </c>
      <c r="U327">
        <v>0</v>
      </c>
      <c r="V327">
        <v>0</v>
      </c>
      <c r="W327" s="8">
        <v>1</v>
      </c>
      <c r="X327">
        <v>0</v>
      </c>
      <c r="Y327">
        <v>1</v>
      </c>
      <c r="Z327" s="8" t="s">
        <v>164</v>
      </c>
      <c r="AA327" s="8" t="s">
        <v>109</v>
      </c>
      <c r="AB327" t="s">
        <v>21</v>
      </c>
      <c r="AD327" t="s">
        <v>355</v>
      </c>
    </row>
    <row r="328" spans="1:36">
      <c r="A328" s="8">
        <v>2004</v>
      </c>
      <c r="B328" s="8">
        <v>66</v>
      </c>
      <c r="C328" s="8"/>
      <c r="D328" s="8" t="s">
        <v>60</v>
      </c>
      <c r="E328" s="8" t="s">
        <v>209</v>
      </c>
      <c r="F328" t="s">
        <v>61</v>
      </c>
      <c r="G328" s="8" t="s">
        <v>156</v>
      </c>
      <c r="H328" s="8" t="s">
        <v>189</v>
      </c>
      <c r="I328" s="8" t="s">
        <v>156</v>
      </c>
      <c r="J328" t="s">
        <v>189</v>
      </c>
      <c r="K328" s="8" t="s">
        <v>65</v>
      </c>
      <c r="L328" s="8" t="s">
        <v>156</v>
      </c>
      <c r="M328" s="8"/>
      <c r="N328" s="8"/>
      <c r="O328">
        <v>0</v>
      </c>
      <c r="P328">
        <v>1</v>
      </c>
      <c r="Q328">
        <v>1</v>
      </c>
      <c r="R328">
        <v>0</v>
      </c>
      <c r="S328">
        <v>0</v>
      </c>
      <c r="T328">
        <v>1</v>
      </c>
      <c r="U328" s="17">
        <v>0</v>
      </c>
      <c r="V328">
        <v>0</v>
      </c>
      <c r="W328" s="8">
        <v>1</v>
      </c>
      <c r="X328">
        <v>0</v>
      </c>
      <c r="Y328">
        <v>1</v>
      </c>
      <c r="Z328" s="8" t="s">
        <v>173</v>
      </c>
      <c r="AA328" s="8" t="s">
        <v>146</v>
      </c>
      <c r="AB328" t="s">
        <v>21</v>
      </c>
      <c r="AC328" s="10" t="s">
        <v>356</v>
      </c>
      <c r="AD328" t="s">
        <v>310</v>
      </c>
      <c r="AF328" t="s">
        <v>311</v>
      </c>
    </row>
    <row r="329" spans="1:36">
      <c r="A329" s="8">
        <v>2004</v>
      </c>
      <c r="B329" s="8">
        <v>66</v>
      </c>
      <c r="C329" s="8"/>
      <c r="D329" s="8" t="s">
        <v>60</v>
      </c>
      <c r="E329" s="8" t="s">
        <v>209</v>
      </c>
      <c r="F329" t="s">
        <v>61</v>
      </c>
      <c r="G329" s="8" t="s">
        <v>37</v>
      </c>
      <c r="I329" s="8" t="s">
        <v>156</v>
      </c>
      <c r="J329" t="s">
        <v>189</v>
      </c>
      <c r="K329" s="8" t="s">
        <v>65</v>
      </c>
      <c r="L329" s="8" t="s">
        <v>156</v>
      </c>
      <c r="M329" s="8"/>
      <c r="N329" s="8"/>
      <c r="O329">
        <v>0</v>
      </c>
      <c r="P329">
        <v>1</v>
      </c>
      <c r="Q329">
        <v>0</v>
      </c>
      <c r="R329">
        <v>0</v>
      </c>
      <c r="S329">
        <v>0</v>
      </c>
      <c r="T329">
        <v>1</v>
      </c>
      <c r="U329" s="17">
        <v>0</v>
      </c>
      <c r="V329">
        <v>0</v>
      </c>
      <c r="W329" s="8">
        <v>1</v>
      </c>
      <c r="X329">
        <v>0</v>
      </c>
      <c r="Y329">
        <v>1</v>
      </c>
      <c r="Z329" s="8" t="s">
        <v>173</v>
      </c>
      <c r="AA329" s="8" t="s">
        <v>146</v>
      </c>
      <c r="AB329" t="s">
        <v>21</v>
      </c>
      <c r="AC329" s="10" t="s">
        <v>356</v>
      </c>
      <c r="AD329" t="s">
        <v>310</v>
      </c>
      <c r="AF329" t="s">
        <v>311</v>
      </c>
    </row>
    <row r="330" spans="1:36">
      <c r="A330" s="8">
        <v>2004</v>
      </c>
      <c r="B330" s="8">
        <v>66</v>
      </c>
      <c r="C330" s="8"/>
      <c r="D330" s="8" t="s">
        <v>60</v>
      </c>
      <c r="E330" s="8" t="s">
        <v>209</v>
      </c>
      <c r="F330" t="s">
        <v>61</v>
      </c>
      <c r="G330" s="8" t="s">
        <v>161</v>
      </c>
      <c r="I330" s="8" t="s">
        <v>156</v>
      </c>
      <c r="J330" t="s">
        <v>189</v>
      </c>
      <c r="K330" s="8" t="s">
        <v>65</v>
      </c>
      <c r="L330" s="8" t="s">
        <v>156</v>
      </c>
      <c r="M330" s="8"/>
      <c r="N330" s="8"/>
      <c r="O330">
        <v>0</v>
      </c>
      <c r="P330">
        <v>1</v>
      </c>
      <c r="Q330">
        <v>0</v>
      </c>
      <c r="R330">
        <v>0</v>
      </c>
      <c r="S330">
        <v>0</v>
      </c>
      <c r="T330">
        <v>1</v>
      </c>
      <c r="U330" s="17">
        <v>0</v>
      </c>
      <c r="V330">
        <v>0</v>
      </c>
      <c r="W330" s="8">
        <v>1</v>
      </c>
      <c r="X330">
        <v>0</v>
      </c>
      <c r="Y330">
        <v>1</v>
      </c>
      <c r="Z330" s="8" t="s">
        <v>173</v>
      </c>
      <c r="AA330" s="8" t="s">
        <v>146</v>
      </c>
      <c r="AB330" t="s">
        <v>21</v>
      </c>
      <c r="AC330" s="10" t="s">
        <v>358</v>
      </c>
      <c r="AD330" t="s">
        <v>357</v>
      </c>
    </row>
    <row r="331" spans="1:36">
      <c r="A331" s="8">
        <v>2004</v>
      </c>
      <c r="B331" s="8">
        <v>67</v>
      </c>
      <c r="C331" s="8"/>
      <c r="D331" s="8" t="s">
        <v>60</v>
      </c>
      <c r="E331" s="8" t="s">
        <v>209</v>
      </c>
      <c r="F331" t="s">
        <v>61</v>
      </c>
      <c r="G331" s="8" t="s">
        <v>26</v>
      </c>
      <c r="I331" s="8" t="s">
        <v>151</v>
      </c>
      <c r="J331" t="s">
        <v>183</v>
      </c>
      <c r="K331" s="8" t="s">
        <v>25</v>
      </c>
      <c r="L331" s="8" t="s">
        <v>26</v>
      </c>
      <c r="M331" s="8"/>
      <c r="N331" s="8"/>
      <c r="O331">
        <v>0</v>
      </c>
      <c r="P331">
        <v>1</v>
      </c>
      <c r="Q331">
        <v>0</v>
      </c>
      <c r="R331">
        <v>0</v>
      </c>
      <c r="S331">
        <v>0</v>
      </c>
      <c r="T331">
        <v>1</v>
      </c>
      <c r="U331">
        <v>1</v>
      </c>
      <c r="V331">
        <v>0</v>
      </c>
      <c r="W331" s="8">
        <v>1</v>
      </c>
      <c r="X331" s="8">
        <v>1</v>
      </c>
      <c r="Y331">
        <v>0</v>
      </c>
      <c r="Z331" s="8" t="s">
        <v>175</v>
      </c>
      <c r="AA331" s="8" t="s">
        <v>126</v>
      </c>
      <c r="AB331" t="s">
        <v>21</v>
      </c>
      <c r="AD331" t="s">
        <v>359</v>
      </c>
    </row>
    <row r="332" spans="1:36">
      <c r="A332" s="8">
        <v>2004</v>
      </c>
      <c r="B332" s="8">
        <v>67</v>
      </c>
      <c r="C332" s="8"/>
      <c r="D332" s="8" t="s">
        <v>60</v>
      </c>
      <c r="E332" s="8" t="s">
        <v>209</v>
      </c>
      <c r="F332" t="s">
        <v>61</v>
      </c>
      <c r="G332" s="8" t="s">
        <v>156</v>
      </c>
      <c r="H332" t="s">
        <v>189</v>
      </c>
      <c r="I332" s="8" t="s">
        <v>151</v>
      </c>
      <c r="J332" t="s">
        <v>183</v>
      </c>
      <c r="K332" s="8" t="s">
        <v>25</v>
      </c>
      <c r="L332" s="8" t="s">
        <v>26</v>
      </c>
      <c r="M332" s="8"/>
      <c r="N332" s="8"/>
      <c r="O332">
        <v>0</v>
      </c>
      <c r="P332">
        <v>1</v>
      </c>
      <c r="Q332">
        <v>0</v>
      </c>
      <c r="R332">
        <v>0</v>
      </c>
      <c r="S332">
        <v>0</v>
      </c>
      <c r="T332">
        <v>1</v>
      </c>
      <c r="U332">
        <v>1</v>
      </c>
      <c r="V332">
        <v>0</v>
      </c>
      <c r="W332" s="8">
        <v>1</v>
      </c>
      <c r="X332" s="8">
        <v>1</v>
      </c>
      <c r="Y332">
        <v>0</v>
      </c>
      <c r="Z332" s="8" t="s">
        <v>175</v>
      </c>
      <c r="AA332" s="8" t="s">
        <v>126</v>
      </c>
      <c r="AB332" t="s">
        <v>21</v>
      </c>
      <c r="AD332" t="s">
        <v>359</v>
      </c>
    </row>
    <row r="333" spans="1:36">
      <c r="A333" s="8">
        <v>2004</v>
      </c>
      <c r="B333" s="8">
        <v>68</v>
      </c>
      <c r="C333" s="8"/>
      <c r="D333" s="8" t="s">
        <v>60</v>
      </c>
      <c r="E333" s="8" t="s">
        <v>209</v>
      </c>
      <c r="F333" t="s">
        <v>61</v>
      </c>
      <c r="G333" s="8" t="s">
        <v>160</v>
      </c>
      <c r="I333" s="8" t="s">
        <v>151</v>
      </c>
      <c r="J333" t="s">
        <v>183</v>
      </c>
      <c r="K333" s="8" t="s">
        <v>25</v>
      </c>
      <c r="L333" s="8" t="s">
        <v>26</v>
      </c>
      <c r="M333" s="8"/>
      <c r="N333" s="8"/>
      <c r="O333">
        <v>0</v>
      </c>
      <c r="P333">
        <v>1</v>
      </c>
      <c r="Q333">
        <v>0</v>
      </c>
      <c r="R333">
        <v>0</v>
      </c>
      <c r="S333">
        <v>0</v>
      </c>
      <c r="T333">
        <v>0</v>
      </c>
      <c r="U333">
        <v>0</v>
      </c>
      <c r="V333">
        <v>0</v>
      </c>
      <c r="W333" s="8">
        <v>0</v>
      </c>
      <c r="X333">
        <v>0</v>
      </c>
      <c r="Y333">
        <v>0</v>
      </c>
      <c r="Z333" s="8"/>
      <c r="AA333" s="8" t="s">
        <v>127</v>
      </c>
      <c r="AB333" t="s">
        <v>21</v>
      </c>
    </row>
    <row r="334" spans="1:36">
      <c r="A334" s="8">
        <v>2005</v>
      </c>
      <c r="B334" s="8">
        <v>69</v>
      </c>
      <c r="C334" s="8"/>
      <c r="D334" s="8" t="s">
        <v>60</v>
      </c>
      <c r="E334" t="s">
        <v>1076</v>
      </c>
      <c r="F334" t="s">
        <v>61</v>
      </c>
      <c r="G334" s="8" t="s">
        <v>35</v>
      </c>
      <c r="I334" s="8" t="s">
        <v>152</v>
      </c>
      <c r="J334" t="s">
        <v>184</v>
      </c>
      <c r="K334" s="8" t="s">
        <v>41</v>
      </c>
      <c r="L334" s="8" t="s">
        <v>35</v>
      </c>
      <c r="M334" s="8"/>
      <c r="N334" s="8"/>
      <c r="O334">
        <v>0</v>
      </c>
      <c r="P334">
        <v>1</v>
      </c>
      <c r="Q334">
        <v>0</v>
      </c>
      <c r="R334">
        <v>1</v>
      </c>
      <c r="S334">
        <v>0</v>
      </c>
      <c r="T334">
        <v>0</v>
      </c>
      <c r="U334">
        <v>1</v>
      </c>
      <c r="V334">
        <v>0</v>
      </c>
      <c r="W334" s="8">
        <v>1</v>
      </c>
      <c r="X334">
        <v>1</v>
      </c>
      <c r="Y334">
        <v>0</v>
      </c>
      <c r="Z334" s="8" t="s">
        <v>371</v>
      </c>
      <c r="AA334" s="10" t="s">
        <v>365</v>
      </c>
      <c r="AB334" t="s">
        <v>366</v>
      </c>
      <c r="AD334" t="s">
        <v>367</v>
      </c>
      <c r="AF334" t="s">
        <v>368</v>
      </c>
      <c r="AH334" t="s">
        <v>369</v>
      </c>
      <c r="AJ334" t="s">
        <v>370</v>
      </c>
    </row>
    <row r="335" spans="1:36">
      <c r="A335" s="8">
        <v>2005</v>
      </c>
      <c r="B335" s="8">
        <v>69</v>
      </c>
      <c r="C335" s="8"/>
      <c r="D335" s="8" t="s">
        <v>60</v>
      </c>
      <c r="E335" t="s">
        <v>1076</v>
      </c>
      <c r="F335" t="s">
        <v>61</v>
      </c>
      <c r="G335" s="8" t="s">
        <v>152</v>
      </c>
      <c r="H335" s="8" t="s">
        <v>184</v>
      </c>
      <c r="I335" s="8" t="s">
        <v>152</v>
      </c>
      <c r="J335" t="s">
        <v>184</v>
      </c>
      <c r="K335" s="8" t="s">
        <v>41</v>
      </c>
      <c r="L335" s="8" t="s">
        <v>35</v>
      </c>
      <c r="M335" s="8"/>
      <c r="N335" s="8"/>
      <c r="O335">
        <v>0</v>
      </c>
      <c r="P335">
        <v>0</v>
      </c>
      <c r="Q335">
        <v>1</v>
      </c>
      <c r="R335">
        <v>0</v>
      </c>
      <c r="S335">
        <v>0</v>
      </c>
      <c r="T335">
        <v>0</v>
      </c>
      <c r="U335">
        <v>0</v>
      </c>
      <c r="V335">
        <v>0</v>
      </c>
      <c r="W335" s="8">
        <v>1</v>
      </c>
      <c r="X335">
        <v>1</v>
      </c>
      <c r="Y335">
        <v>0</v>
      </c>
      <c r="Z335" s="8" t="s">
        <v>371</v>
      </c>
      <c r="AA335" s="10" t="s">
        <v>372</v>
      </c>
      <c r="AB335" t="s">
        <v>370</v>
      </c>
      <c r="AD335" t="s">
        <v>373</v>
      </c>
    </row>
    <row r="336" spans="1:36">
      <c r="A336" s="8">
        <v>2005</v>
      </c>
      <c r="B336" s="8">
        <v>69</v>
      </c>
      <c r="C336" s="8"/>
      <c r="D336" s="8" t="s">
        <v>60</v>
      </c>
      <c r="E336" t="s">
        <v>1076</v>
      </c>
      <c r="F336" t="s">
        <v>61</v>
      </c>
      <c r="G336" s="8" t="s">
        <v>154</v>
      </c>
      <c r="H336" s="8" t="s">
        <v>187</v>
      </c>
      <c r="I336" s="8" t="s">
        <v>152</v>
      </c>
      <c r="J336" t="s">
        <v>184</v>
      </c>
      <c r="K336" s="8" t="s">
        <v>41</v>
      </c>
      <c r="L336" s="8" t="s">
        <v>35</v>
      </c>
      <c r="M336" s="8"/>
      <c r="N336" s="8"/>
      <c r="O336">
        <v>0</v>
      </c>
      <c r="P336">
        <v>0</v>
      </c>
      <c r="Q336">
        <v>0</v>
      </c>
      <c r="R336">
        <v>0</v>
      </c>
      <c r="S336">
        <v>0</v>
      </c>
      <c r="T336">
        <v>0</v>
      </c>
      <c r="U336">
        <v>1</v>
      </c>
      <c r="V336">
        <v>0</v>
      </c>
      <c r="W336" s="8">
        <v>1</v>
      </c>
      <c r="X336">
        <v>1</v>
      </c>
      <c r="Y336">
        <v>0</v>
      </c>
      <c r="Z336" s="8" t="s">
        <v>371</v>
      </c>
      <c r="AA336" s="10" t="s">
        <v>374</v>
      </c>
      <c r="AB336" t="s">
        <v>366</v>
      </c>
      <c r="AD336" t="s">
        <v>370</v>
      </c>
      <c r="AF336" t="s">
        <v>375</v>
      </c>
      <c r="AH336" t="s">
        <v>367</v>
      </c>
    </row>
    <row r="337" spans="1:36">
      <c r="A337" s="8">
        <v>2005</v>
      </c>
      <c r="B337" s="8">
        <v>69</v>
      </c>
      <c r="C337" s="8"/>
      <c r="D337" s="8" t="s">
        <v>60</v>
      </c>
      <c r="E337" t="s">
        <v>1076</v>
      </c>
      <c r="F337" t="s">
        <v>61</v>
      </c>
      <c r="G337" s="8" t="s">
        <v>204</v>
      </c>
      <c r="H337" s="8" t="s">
        <v>207</v>
      </c>
      <c r="I337" s="8" t="s">
        <v>152</v>
      </c>
      <c r="J337" t="s">
        <v>184</v>
      </c>
      <c r="K337" s="8" t="s">
        <v>41</v>
      </c>
      <c r="L337" s="8" t="s">
        <v>35</v>
      </c>
      <c r="M337" s="8"/>
      <c r="N337" s="8"/>
      <c r="O337">
        <v>0</v>
      </c>
      <c r="P337">
        <v>1</v>
      </c>
      <c r="Q337">
        <v>0</v>
      </c>
      <c r="R337">
        <v>0</v>
      </c>
      <c r="S337">
        <v>0</v>
      </c>
      <c r="T337">
        <v>0</v>
      </c>
      <c r="U337">
        <v>1</v>
      </c>
      <c r="V337">
        <v>0</v>
      </c>
      <c r="W337" s="8">
        <v>1</v>
      </c>
      <c r="X337">
        <v>1</v>
      </c>
      <c r="Y337">
        <v>0</v>
      </c>
      <c r="Z337" s="8" t="s">
        <v>371</v>
      </c>
      <c r="AA337" s="10" t="s">
        <v>376</v>
      </c>
      <c r="AB337" t="s">
        <v>366</v>
      </c>
      <c r="AD337" t="s">
        <v>368</v>
      </c>
      <c r="AF337" t="s">
        <v>370</v>
      </c>
      <c r="AH337" t="s">
        <v>367</v>
      </c>
    </row>
    <row r="338" spans="1:36">
      <c r="A338" s="8">
        <v>2005</v>
      </c>
      <c r="B338" s="8">
        <v>69</v>
      </c>
      <c r="C338" s="8"/>
      <c r="D338" s="8" t="s">
        <v>60</v>
      </c>
      <c r="E338" t="s">
        <v>1076</v>
      </c>
      <c r="F338" t="s">
        <v>61</v>
      </c>
      <c r="G338" s="8" t="s">
        <v>377</v>
      </c>
      <c r="H338" s="8" t="s">
        <v>378</v>
      </c>
      <c r="I338" s="8" t="s">
        <v>152</v>
      </c>
      <c r="J338" t="s">
        <v>184</v>
      </c>
      <c r="K338" s="8" t="s">
        <v>41</v>
      </c>
      <c r="L338" s="8" t="s">
        <v>35</v>
      </c>
      <c r="M338" s="8"/>
      <c r="N338" s="8"/>
      <c r="O338">
        <v>0</v>
      </c>
      <c r="P338">
        <v>0</v>
      </c>
      <c r="Q338">
        <v>0</v>
      </c>
      <c r="R338">
        <v>0</v>
      </c>
      <c r="S338">
        <v>0</v>
      </c>
      <c r="T338">
        <v>0</v>
      </c>
      <c r="U338">
        <v>1</v>
      </c>
      <c r="V338">
        <v>0</v>
      </c>
      <c r="W338" s="8">
        <v>1</v>
      </c>
      <c r="X338">
        <v>1</v>
      </c>
      <c r="Y338">
        <v>0</v>
      </c>
      <c r="Z338" s="8" t="s">
        <v>371</v>
      </c>
      <c r="AA338" s="10" t="s">
        <v>379</v>
      </c>
      <c r="AB338" t="s">
        <v>366</v>
      </c>
      <c r="AD338" t="s">
        <v>367</v>
      </c>
      <c r="AF338" t="s">
        <v>370</v>
      </c>
    </row>
    <row r="339" spans="1:36">
      <c r="A339" s="8">
        <v>2005</v>
      </c>
      <c r="B339" s="8">
        <v>69</v>
      </c>
      <c r="C339" s="8"/>
      <c r="D339" s="8" t="s">
        <v>60</v>
      </c>
      <c r="E339" t="s">
        <v>1076</v>
      </c>
      <c r="F339" t="s">
        <v>61</v>
      </c>
      <c r="G339" s="8" t="s">
        <v>203</v>
      </c>
      <c r="H339" s="8" t="s">
        <v>206</v>
      </c>
      <c r="I339" s="8" t="s">
        <v>152</v>
      </c>
      <c r="J339" t="s">
        <v>184</v>
      </c>
      <c r="K339" s="8" t="s">
        <v>41</v>
      </c>
      <c r="L339" s="8" t="s">
        <v>35</v>
      </c>
      <c r="M339" s="8"/>
      <c r="N339" s="8"/>
      <c r="O339">
        <v>0</v>
      </c>
      <c r="P339">
        <v>1</v>
      </c>
      <c r="Q339">
        <v>0</v>
      </c>
      <c r="R339">
        <v>0</v>
      </c>
      <c r="S339">
        <v>0</v>
      </c>
      <c r="T339">
        <v>0</v>
      </c>
      <c r="U339">
        <v>1</v>
      </c>
      <c r="V339">
        <v>0</v>
      </c>
      <c r="W339" s="8">
        <v>1</v>
      </c>
      <c r="X339">
        <v>1</v>
      </c>
      <c r="Y339">
        <v>0</v>
      </c>
      <c r="Z339" s="8" t="s">
        <v>371</v>
      </c>
      <c r="AA339" s="10" t="s">
        <v>380</v>
      </c>
      <c r="AB339" t="s">
        <v>366</v>
      </c>
      <c r="AD339" t="s">
        <v>368</v>
      </c>
      <c r="AF339" t="s">
        <v>367</v>
      </c>
      <c r="AH339" t="s">
        <v>370</v>
      </c>
    </row>
    <row r="340" spans="1:36">
      <c r="A340" s="8">
        <v>2005</v>
      </c>
      <c r="B340" s="8">
        <v>69</v>
      </c>
      <c r="C340" s="8"/>
      <c r="D340" s="8" t="s">
        <v>60</v>
      </c>
      <c r="E340" t="s">
        <v>1076</v>
      </c>
      <c r="F340" t="s">
        <v>61</v>
      </c>
      <c r="G340" s="8" t="s">
        <v>202</v>
      </c>
      <c r="H340" s="8" t="s">
        <v>205</v>
      </c>
      <c r="I340" s="8" t="s">
        <v>152</v>
      </c>
      <c r="J340" t="s">
        <v>184</v>
      </c>
      <c r="K340" s="8" t="s">
        <v>41</v>
      </c>
      <c r="L340" s="8" t="s">
        <v>35</v>
      </c>
      <c r="M340" s="8"/>
      <c r="N340" s="8"/>
      <c r="O340">
        <v>0</v>
      </c>
      <c r="P340">
        <v>1</v>
      </c>
      <c r="Q340">
        <v>0</v>
      </c>
      <c r="R340">
        <v>0</v>
      </c>
      <c r="S340">
        <v>0</v>
      </c>
      <c r="T340">
        <v>0</v>
      </c>
      <c r="U340">
        <v>1</v>
      </c>
      <c r="V340">
        <v>0</v>
      </c>
      <c r="W340" s="8">
        <v>1</v>
      </c>
      <c r="X340">
        <v>1</v>
      </c>
      <c r="Y340">
        <v>0</v>
      </c>
      <c r="Z340" s="8" t="s">
        <v>371</v>
      </c>
      <c r="AA340" s="10" t="s">
        <v>381</v>
      </c>
      <c r="AB340" t="s">
        <v>366</v>
      </c>
      <c r="AD340" t="s">
        <v>368</v>
      </c>
      <c r="AF340" t="s">
        <v>367</v>
      </c>
      <c r="AH340" t="s">
        <v>370</v>
      </c>
    </row>
    <row r="341" spans="1:36">
      <c r="A341" s="8">
        <v>2005</v>
      </c>
      <c r="B341" s="8">
        <v>69</v>
      </c>
      <c r="C341" s="8"/>
      <c r="D341" s="8" t="s">
        <v>60</v>
      </c>
      <c r="E341" t="s">
        <v>1076</v>
      </c>
      <c r="F341" t="s">
        <v>61</v>
      </c>
      <c r="G341" s="8" t="s">
        <v>193</v>
      </c>
      <c r="H341" s="8" t="s">
        <v>185</v>
      </c>
      <c r="I341" s="8" t="s">
        <v>152</v>
      </c>
      <c r="J341" t="s">
        <v>184</v>
      </c>
      <c r="K341" s="8" t="s">
        <v>41</v>
      </c>
      <c r="L341" s="8" t="s">
        <v>35</v>
      </c>
      <c r="M341" s="8"/>
      <c r="N341" s="8"/>
      <c r="O341">
        <v>0</v>
      </c>
      <c r="P341">
        <v>1</v>
      </c>
      <c r="Q341">
        <v>0</v>
      </c>
      <c r="R341">
        <v>0</v>
      </c>
      <c r="S341">
        <v>0</v>
      </c>
      <c r="T341">
        <v>0</v>
      </c>
      <c r="U341">
        <v>1</v>
      </c>
      <c r="V341">
        <v>0</v>
      </c>
      <c r="W341" s="8">
        <v>1</v>
      </c>
      <c r="X341">
        <v>1</v>
      </c>
      <c r="Y341">
        <v>0</v>
      </c>
      <c r="Z341" s="8" t="s">
        <v>371</v>
      </c>
      <c r="AA341" s="10" t="s">
        <v>382</v>
      </c>
      <c r="AB341" t="s">
        <v>366</v>
      </c>
      <c r="AD341" t="s">
        <v>368</v>
      </c>
      <c r="AF341" t="s">
        <v>367</v>
      </c>
      <c r="AH341" t="s">
        <v>370</v>
      </c>
    </row>
    <row r="342" spans="1:36">
      <c r="A342" s="8">
        <v>2005</v>
      </c>
      <c r="B342" s="8">
        <v>69</v>
      </c>
      <c r="C342" s="8"/>
      <c r="D342" s="8" t="s">
        <v>60</v>
      </c>
      <c r="E342" t="s">
        <v>1076</v>
      </c>
      <c r="F342" t="s">
        <v>61</v>
      </c>
      <c r="G342" s="8" t="s">
        <v>26</v>
      </c>
      <c r="I342" s="8" t="s">
        <v>152</v>
      </c>
      <c r="J342" t="s">
        <v>184</v>
      </c>
      <c r="K342" s="8" t="s">
        <v>41</v>
      </c>
      <c r="L342" s="8" t="s">
        <v>35</v>
      </c>
      <c r="M342" s="8"/>
      <c r="N342" s="8"/>
      <c r="O342">
        <v>0</v>
      </c>
      <c r="P342">
        <v>0</v>
      </c>
      <c r="Q342">
        <v>0</v>
      </c>
      <c r="R342">
        <v>0</v>
      </c>
      <c r="S342">
        <v>0</v>
      </c>
      <c r="T342">
        <v>0</v>
      </c>
      <c r="U342">
        <v>1</v>
      </c>
      <c r="V342">
        <v>0</v>
      </c>
      <c r="W342" s="8">
        <v>1</v>
      </c>
      <c r="X342">
        <v>1</v>
      </c>
      <c r="Y342">
        <v>0</v>
      </c>
      <c r="Z342" s="8" t="s">
        <v>371</v>
      </c>
      <c r="AA342" s="10" t="s">
        <v>383</v>
      </c>
      <c r="AB342" t="s">
        <v>366</v>
      </c>
      <c r="AD342" t="s">
        <v>367</v>
      </c>
      <c r="AF342" t="s">
        <v>370</v>
      </c>
    </row>
    <row r="343" spans="1:36">
      <c r="A343" s="8">
        <v>2005</v>
      </c>
      <c r="B343" s="8">
        <v>69</v>
      </c>
      <c r="C343" s="8"/>
      <c r="D343" s="8" t="s">
        <v>60</v>
      </c>
      <c r="E343" t="s">
        <v>1076</v>
      </c>
      <c r="F343" t="s">
        <v>61</v>
      </c>
      <c r="G343" s="8" t="s">
        <v>161</v>
      </c>
      <c r="I343" s="8" t="s">
        <v>152</v>
      </c>
      <c r="J343" t="s">
        <v>184</v>
      </c>
      <c r="K343" s="8" t="s">
        <v>41</v>
      </c>
      <c r="L343" s="8" t="s">
        <v>35</v>
      </c>
      <c r="M343" s="8"/>
      <c r="N343" s="8"/>
      <c r="O343">
        <v>0</v>
      </c>
      <c r="P343">
        <v>0</v>
      </c>
      <c r="Q343">
        <v>0</v>
      </c>
      <c r="R343">
        <v>0</v>
      </c>
      <c r="S343">
        <v>0</v>
      </c>
      <c r="T343">
        <v>0</v>
      </c>
      <c r="U343">
        <v>1</v>
      </c>
      <c r="V343">
        <v>0</v>
      </c>
      <c r="W343" s="8">
        <v>1</v>
      </c>
      <c r="X343">
        <v>1</v>
      </c>
      <c r="Y343">
        <v>0</v>
      </c>
      <c r="Z343" s="8" t="s">
        <v>371</v>
      </c>
      <c r="AA343" s="10" t="s">
        <v>384</v>
      </c>
      <c r="AB343" t="s">
        <v>366</v>
      </c>
      <c r="AD343" t="s">
        <v>367</v>
      </c>
      <c r="AF343" t="s">
        <v>370</v>
      </c>
    </row>
    <row r="344" spans="1:36">
      <c r="A344" s="8">
        <v>2005</v>
      </c>
      <c r="B344" s="8">
        <v>69</v>
      </c>
      <c r="C344" s="8"/>
      <c r="D344" s="8" t="s">
        <v>60</v>
      </c>
      <c r="E344" t="s">
        <v>1076</v>
      </c>
      <c r="F344" t="s">
        <v>61</v>
      </c>
      <c r="G344" s="8" t="s">
        <v>298</v>
      </c>
      <c r="I344" s="8" t="s">
        <v>152</v>
      </c>
      <c r="J344" t="s">
        <v>184</v>
      </c>
      <c r="K344" s="8" t="s">
        <v>41</v>
      </c>
      <c r="L344" s="8" t="s">
        <v>35</v>
      </c>
      <c r="M344" s="8"/>
      <c r="N344" s="8"/>
      <c r="O344">
        <v>0</v>
      </c>
      <c r="P344">
        <v>0</v>
      </c>
      <c r="Q344">
        <v>0</v>
      </c>
      <c r="R344">
        <v>0</v>
      </c>
      <c r="S344">
        <v>0</v>
      </c>
      <c r="T344">
        <v>0</v>
      </c>
      <c r="U344">
        <v>1</v>
      </c>
      <c r="V344">
        <v>0</v>
      </c>
      <c r="W344" s="8">
        <v>1</v>
      </c>
      <c r="X344">
        <v>1</v>
      </c>
      <c r="Y344">
        <v>0</v>
      </c>
      <c r="Z344" s="8" t="s">
        <v>371</v>
      </c>
      <c r="AA344" s="10" t="s">
        <v>385</v>
      </c>
      <c r="AB344" t="s">
        <v>366</v>
      </c>
      <c r="AD344" t="s">
        <v>367</v>
      </c>
      <c r="AF344" t="s">
        <v>370</v>
      </c>
    </row>
    <row r="345" spans="1:36">
      <c r="A345" s="8">
        <v>2005</v>
      </c>
      <c r="B345" s="8">
        <v>69</v>
      </c>
      <c r="C345" s="8"/>
      <c r="D345" s="8" t="s">
        <v>60</v>
      </c>
      <c r="E345" t="s">
        <v>1076</v>
      </c>
      <c r="F345" t="s">
        <v>61</v>
      </c>
      <c r="G345" s="8" t="s">
        <v>386</v>
      </c>
      <c r="I345" s="8" t="s">
        <v>152</v>
      </c>
      <c r="J345" t="s">
        <v>184</v>
      </c>
      <c r="K345" s="8" t="s">
        <v>41</v>
      </c>
      <c r="L345" s="8" t="s">
        <v>35</v>
      </c>
      <c r="M345" s="8"/>
      <c r="N345" s="8"/>
      <c r="O345">
        <v>0</v>
      </c>
      <c r="P345">
        <v>0</v>
      </c>
      <c r="Q345">
        <v>0</v>
      </c>
      <c r="R345">
        <v>0</v>
      </c>
      <c r="S345">
        <v>0</v>
      </c>
      <c r="T345">
        <v>0</v>
      </c>
      <c r="U345">
        <v>1</v>
      </c>
      <c r="V345">
        <v>0</v>
      </c>
      <c r="W345" s="8">
        <v>1</v>
      </c>
      <c r="X345">
        <v>1</v>
      </c>
      <c r="Y345">
        <v>0</v>
      </c>
      <c r="Z345" s="8" t="s">
        <v>371</v>
      </c>
      <c r="AA345" s="10" t="s">
        <v>387</v>
      </c>
      <c r="AB345" s="18" t="s">
        <v>366</v>
      </c>
      <c r="AD345" t="s">
        <v>367</v>
      </c>
      <c r="AF345" t="s">
        <v>370</v>
      </c>
    </row>
    <row r="346" spans="1:36">
      <c r="A346" s="8">
        <v>2005</v>
      </c>
      <c r="B346" s="8">
        <v>69</v>
      </c>
      <c r="C346" s="8"/>
      <c r="D346" s="8" t="s">
        <v>60</v>
      </c>
      <c r="E346" t="s">
        <v>1076</v>
      </c>
      <c r="F346" t="s">
        <v>61</v>
      </c>
      <c r="G346" s="8" t="s">
        <v>37</v>
      </c>
      <c r="I346" s="8" t="s">
        <v>152</v>
      </c>
      <c r="J346" t="s">
        <v>184</v>
      </c>
      <c r="K346" s="8" t="s">
        <v>41</v>
      </c>
      <c r="L346" s="8" t="s">
        <v>35</v>
      </c>
      <c r="M346" s="8"/>
      <c r="N346" s="8"/>
      <c r="O346">
        <v>0</v>
      </c>
      <c r="P346">
        <v>0</v>
      </c>
      <c r="Q346">
        <v>0</v>
      </c>
      <c r="R346">
        <v>0</v>
      </c>
      <c r="S346">
        <v>0</v>
      </c>
      <c r="T346">
        <v>0</v>
      </c>
      <c r="U346">
        <v>1</v>
      </c>
      <c r="V346">
        <v>0</v>
      </c>
      <c r="W346" s="8">
        <v>1</v>
      </c>
      <c r="X346">
        <v>1</v>
      </c>
      <c r="Y346">
        <v>0</v>
      </c>
      <c r="Z346" s="8" t="s">
        <v>371</v>
      </c>
      <c r="AA346" s="10" t="s">
        <v>388</v>
      </c>
      <c r="AB346" s="18" t="s">
        <v>366</v>
      </c>
      <c r="AD346" t="s">
        <v>367</v>
      </c>
      <c r="AF346" t="s">
        <v>370</v>
      </c>
    </row>
    <row r="347" spans="1:36">
      <c r="A347" s="8">
        <v>2005</v>
      </c>
      <c r="B347" s="8">
        <v>70</v>
      </c>
      <c r="C347" s="8"/>
      <c r="D347" s="8" t="s">
        <v>60</v>
      </c>
      <c r="F347" t="s">
        <v>61</v>
      </c>
      <c r="G347" s="8" t="s">
        <v>154</v>
      </c>
      <c r="H347" s="8" t="s">
        <v>187</v>
      </c>
      <c r="I347" s="8" t="s">
        <v>154</v>
      </c>
      <c r="J347" t="s">
        <v>187</v>
      </c>
      <c r="K347" s="8" t="s">
        <v>65</v>
      </c>
      <c r="L347" s="8" t="s">
        <v>154</v>
      </c>
      <c r="M347" s="8"/>
      <c r="N347" s="8"/>
      <c r="O347">
        <v>0</v>
      </c>
      <c r="P347">
        <v>1</v>
      </c>
      <c r="Q347">
        <v>1</v>
      </c>
      <c r="R347">
        <v>1</v>
      </c>
      <c r="S347">
        <v>0</v>
      </c>
      <c r="T347">
        <v>0</v>
      </c>
      <c r="U347">
        <v>0</v>
      </c>
      <c r="V347">
        <v>0</v>
      </c>
      <c r="W347" s="8">
        <v>1</v>
      </c>
      <c r="X347">
        <v>1</v>
      </c>
      <c r="Y347">
        <v>0</v>
      </c>
      <c r="Z347" s="8" t="s">
        <v>168</v>
      </c>
      <c r="AA347" s="8" t="s">
        <v>119</v>
      </c>
      <c r="AB347" t="s">
        <v>21</v>
      </c>
    </row>
    <row r="348" spans="1:36">
      <c r="A348" s="8">
        <v>2005</v>
      </c>
      <c r="B348" s="8">
        <v>71</v>
      </c>
      <c r="C348" s="8"/>
      <c r="D348" s="8" t="s">
        <v>60</v>
      </c>
      <c r="F348" t="s">
        <v>61</v>
      </c>
      <c r="G348" s="8" t="s">
        <v>154</v>
      </c>
      <c r="H348" s="8" t="s">
        <v>187</v>
      </c>
      <c r="I348" s="8" t="s">
        <v>154</v>
      </c>
      <c r="J348" t="s">
        <v>187</v>
      </c>
      <c r="K348" s="8" t="s">
        <v>65</v>
      </c>
      <c r="L348" s="8" t="s">
        <v>154</v>
      </c>
      <c r="M348" s="8"/>
      <c r="N348" s="8"/>
      <c r="O348">
        <v>0</v>
      </c>
      <c r="P348">
        <v>1</v>
      </c>
      <c r="Q348">
        <v>1</v>
      </c>
      <c r="R348">
        <v>1</v>
      </c>
      <c r="S348">
        <v>0</v>
      </c>
      <c r="T348">
        <v>0</v>
      </c>
      <c r="U348">
        <v>0</v>
      </c>
      <c r="V348">
        <v>0</v>
      </c>
      <c r="W348" s="8">
        <v>1</v>
      </c>
      <c r="X348" s="8">
        <v>1</v>
      </c>
      <c r="Y348" s="8">
        <v>0</v>
      </c>
      <c r="Z348" s="8" t="s">
        <v>172</v>
      </c>
      <c r="AA348" s="8" t="s">
        <v>120</v>
      </c>
      <c r="AB348" t="s">
        <v>21</v>
      </c>
      <c r="AD348" t="s">
        <v>360</v>
      </c>
    </row>
    <row r="349" spans="1:36">
      <c r="A349" s="8">
        <v>2005</v>
      </c>
      <c r="B349" s="8">
        <v>72</v>
      </c>
      <c r="C349" s="8"/>
      <c r="D349" s="8" t="s">
        <v>60</v>
      </c>
      <c r="F349" t="s">
        <v>61</v>
      </c>
      <c r="G349" s="8" t="s">
        <v>154</v>
      </c>
      <c r="H349" s="8" t="s">
        <v>187</v>
      </c>
      <c r="I349" s="8"/>
      <c r="K349" s="8" t="s">
        <v>65</v>
      </c>
      <c r="L349" s="8" t="s">
        <v>154</v>
      </c>
      <c r="M349" s="8"/>
      <c r="N349" s="8"/>
      <c r="O349">
        <v>0</v>
      </c>
      <c r="P349">
        <v>1</v>
      </c>
      <c r="Q349">
        <v>0</v>
      </c>
      <c r="R349">
        <v>0</v>
      </c>
      <c r="S349">
        <v>0</v>
      </c>
      <c r="T349">
        <v>0</v>
      </c>
      <c r="U349">
        <v>0</v>
      </c>
      <c r="V349">
        <v>0</v>
      </c>
      <c r="W349" s="8">
        <v>0</v>
      </c>
      <c r="X349">
        <v>0</v>
      </c>
      <c r="Y349">
        <v>0</v>
      </c>
      <c r="Z349" s="8"/>
      <c r="AA349" s="8" t="s">
        <v>121</v>
      </c>
      <c r="AB349" t="s">
        <v>21</v>
      </c>
    </row>
    <row r="350" spans="1:36">
      <c r="A350" s="8">
        <v>2005</v>
      </c>
      <c r="B350" s="8">
        <v>73</v>
      </c>
      <c r="C350" s="8"/>
      <c r="D350" s="8" t="s">
        <v>60</v>
      </c>
      <c r="E350" t="s">
        <v>209</v>
      </c>
      <c r="F350" t="s">
        <v>61</v>
      </c>
      <c r="G350" s="8" t="s">
        <v>26</v>
      </c>
      <c r="I350" s="8" t="s">
        <v>156</v>
      </c>
      <c r="J350" t="s">
        <v>189</v>
      </c>
      <c r="K350" s="8" t="s">
        <v>41</v>
      </c>
      <c r="L350" t="s">
        <v>156</v>
      </c>
      <c r="O350">
        <v>0</v>
      </c>
      <c r="P350">
        <v>1</v>
      </c>
      <c r="Q350">
        <v>1</v>
      </c>
      <c r="R350">
        <v>0</v>
      </c>
      <c r="S350">
        <v>0</v>
      </c>
      <c r="T350">
        <v>0</v>
      </c>
      <c r="U350">
        <v>0</v>
      </c>
      <c r="V350">
        <v>0</v>
      </c>
      <c r="W350" s="8">
        <v>0</v>
      </c>
      <c r="X350">
        <v>0</v>
      </c>
      <c r="Y350">
        <v>0</v>
      </c>
      <c r="Z350" s="8"/>
      <c r="AA350" s="8" t="s">
        <v>128</v>
      </c>
      <c r="AB350" t="s">
        <v>21</v>
      </c>
      <c r="AC350" s="10" t="s">
        <v>364</v>
      </c>
      <c r="AD350" t="s">
        <v>310</v>
      </c>
      <c r="AF350" t="s">
        <v>311</v>
      </c>
      <c r="AH350" t="s">
        <v>363</v>
      </c>
      <c r="AJ350" t="s">
        <v>363</v>
      </c>
    </row>
    <row r="351" spans="1:36">
      <c r="A351" s="8">
        <v>2005</v>
      </c>
      <c r="B351" s="8">
        <v>73</v>
      </c>
      <c r="C351" s="8"/>
      <c r="D351" s="8" t="s">
        <v>60</v>
      </c>
      <c r="E351" t="s">
        <v>209</v>
      </c>
      <c r="F351" t="s">
        <v>61</v>
      </c>
      <c r="G351" s="8" t="s">
        <v>156</v>
      </c>
      <c r="H351" s="8" t="s">
        <v>189</v>
      </c>
      <c r="I351" s="8" t="s">
        <v>156</v>
      </c>
      <c r="J351" t="s">
        <v>189</v>
      </c>
      <c r="K351" s="8" t="s">
        <v>41</v>
      </c>
      <c r="L351" t="s">
        <v>156</v>
      </c>
      <c r="O351">
        <v>0</v>
      </c>
      <c r="P351">
        <v>1</v>
      </c>
      <c r="Q351">
        <v>0</v>
      </c>
      <c r="R351">
        <v>0</v>
      </c>
      <c r="S351">
        <v>0</v>
      </c>
      <c r="T351">
        <v>0</v>
      </c>
      <c r="U351">
        <v>0</v>
      </c>
      <c r="V351">
        <v>0</v>
      </c>
      <c r="W351" s="8">
        <v>0</v>
      </c>
      <c r="X351">
        <v>0</v>
      </c>
      <c r="Y351">
        <v>0</v>
      </c>
      <c r="Z351" s="8"/>
      <c r="AA351" s="8" t="s">
        <v>128</v>
      </c>
      <c r="AB351" t="s">
        <v>21</v>
      </c>
      <c r="AC351" s="10" t="s">
        <v>364</v>
      </c>
      <c r="AD351" t="s">
        <v>310</v>
      </c>
      <c r="AF351" t="s">
        <v>311</v>
      </c>
      <c r="AH351" t="s">
        <v>363</v>
      </c>
      <c r="AJ351" t="s">
        <v>363</v>
      </c>
    </row>
    <row r="352" spans="1:36">
      <c r="A352" s="8">
        <v>2005</v>
      </c>
      <c r="B352" s="8">
        <v>74</v>
      </c>
      <c r="C352" s="8"/>
      <c r="D352" s="8" t="s">
        <v>60</v>
      </c>
      <c r="E352" t="s">
        <v>209</v>
      </c>
      <c r="F352" t="s">
        <v>61</v>
      </c>
      <c r="G352" s="8" t="s">
        <v>160</v>
      </c>
      <c r="I352" s="8" t="s">
        <v>151</v>
      </c>
      <c r="J352" t="s">
        <v>183</v>
      </c>
      <c r="K352" s="8" t="s">
        <v>25</v>
      </c>
      <c r="L352" t="s">
        <v>26</v>
      </c>
      <c r="O352">
        <v>0</v>
      </c>
      <c r="P352">
        <v>1</v>
      </c>
      <c r="Q352">
        <v>0</v>
      </c>
      <c r="R352">
        <v>1</v>
      </c>
      <c r="S352">
        <v>0</v>
      </c>
      <c r="T352">
        <v>0</v>
      </c>
      <c r="U352">
        <v>1</v>
      </c>
      <c r="V352">
        <v>0</v>
      </c>
      <c r="W352" s="8">
        <v>1</v>
      </c>
      <c r="X352" s="8">
        <v>1</v>
      </c>
      <c r="Y352">
        <v>0</v>
      </c>
      <c r="Z352" s="8" t="s">
        <v>176</v>
      </c>
      <c r="AA352" s="8" t="s">
        <v>129</v>
      </c>
      <c r="AB352" t="s">
        <v>21</v>
      </c>
      <c r="AC352" s="10" t="s">
        <v>362</v>
      </c>
      <c r="AD352" t="s">
        <v>311</v>
      </c>
      <c r="AF352" t="s">
        <v>310</v>
      </c>
      <c r="AH352" t="s">
        <v>361</v>
      </c>
    </row>
    <row r="353" spans="1:32">
      <c r="A353" s="8">
        <v>2005</v>
      </c>
      <c r="B353" s="8">
        <v>75</v>
      </c>
      <c r="C353" s="8"/>
      <c r="D353" s="8" t="s">
        <v>60</v>
      </c>
      <c r="E353" t="s">
        <v>209</v>
      </c>
      <c r="F353" t="s">
        <v>61</v>
      </c>
      <c r="G353" s="8" t="s">
        <v>26</v>
      </c>
      <c r="I353" s="8" t="s">
        <v>151</v>
      </c>
      <c r="J353" t="s">
        <v>183</v>
      </c>
      <c r="K353" s="8" t="s">
        <v>25</v>
      </c>
      <c r="L353" t="s">
        <v>26</v>
      </c>
      <c r="O353">
        <v>0</v>
      </c>
      <c r="P353">
        <v>1</v>
      </c>
      <c r="Q353">
        <v>0</v>
      </c>
      <c r="R353">
        <v>0</v>
      </c>
      <c r="S353">
        <v>0</v>
      </c>
      <c r="T353">
        <v>0</v>
      </c>
      <c r="U353">
        <v>0</v>
      </c>
      <c r="V353">
        <v>0</v>
      </c>
      <c r="W353" s="8">
        <v>0</v>
      </c>
      <c r="X353">
        <v>0</v>
      </c>
      <c r="Y353">
        <v>0</v>
      </c>
      <c r="Z353" s="8"/>
      <c r="AA353" s="8" t="s">
        <v>130</v>
      </c>
      <c r="AB353" t="s">
        <v>21</v>
      </c>
      <c r="AC353" s="10" t="s">
        <v>362</v>
      </c>
      <c r="AD353" t="s">
        <v>311</v>
      </c>
      <c r="AF353" t="s">
        <v>310</v>
      </c>
    </row>
    <row r="354" spans="1:32">
      <c r="A354" s="8">
        <v>2005</v>
      </c>
      <c r="B354" s="8">
        <v>76</v>
      </c>
      <c r="C354" s="8"/>
      <c r="D354" s="8" t="s">
        <v>60</v>
      </c>
      <c r="E354" t="s">
        <v>209</v>
      </c>
      <c r="F354" t="s">
        <v>61</v>
      </c>
      <c r="G354" s="8" t="s">
        <v>26</v>
      </c>
      <c r="I354" s="8" t="s">
        <v>151</v>
      </c>
      <c r="J354" t="s">
        <v>183</v>
      </c>
      <c r="K354" s="8" t="s">
        <v>25</v>
      </c>
      <c r="L354" t="s">
        <v>26</v>
      </c>
      <c r="O354">
        <v>0</v>
      </c>
      <c r="P354">
        <v>1</v>
      </c>
      <c r="Q354">
        <v>0</v>
      </c>
      <c r="R354">
        <v>1</v>
      </c>
      <c r="S354">
        <v>0</v>
      </c>
      <c r="T354">
        <v>0</v>
      </c>
      <c r="U354">
        <v>0</v>
      </c>
      <c r="V354">
        <v>0</v>
      </c>
      <c r="W354" s="8">
        <v>0</v>
      </c>
      <c r="X354">
        <v>0</v>
      </c>
      <c r="Y354">
        <v>0</v>
      </c>
      <c r="Z354" s="8"/>
      <c r="AA354" s="8" t="s">
        <v>131</v>
      </c>
      <c r="AB354" t="s">
        <v>21</v>
      </c>
      <c r="AC354" s="10" t="s">
        <v>362</v>
      </c>
      <c r="AD354" t="s">
        <v>311</v>
      </c>
      <c r="AF354" t="s">
        <v>310</v>
      </c>
    </row>
    <row r="355" spans="1:32">
      <c r="A355" s="8">
        <v>2006</v>
      </c>
      <c r="B355" s="8">
        <v>77</v>
      </c>
      <c r="C355" s="8"/>
      <c r="D355" s="8" t="s">
        <v>60</v>
      </c>
      <c r="E355" t="s">
        <v>209</v>
      </c>
      <c r="F355" t="s">
        <v>61</v>
      </c>
      <c r="G355" s="8" t="s">
        <v>26</v>
      </c>
      <c r="I355" s="8" t="s">
        <v>151</v>
      </c>
      <c r="J355" t="s">
        <v>183</v>
      </c>
      <c r="K355" s="8" t="s">
        <v>41</v>
      </c>
      <c r="L355" t="s">
        <v>202</v>
      </c>
      <c r="M355" s="8" t="s">
        <v>193</v>
      </c>
      <c r="O355">
        <v>0</v>
      </c>
      <c r="P355">
        <v>1</v>
      </c>
      <c r="Q355">
        <v>0</v>
      </c>
      <c r="R355">
        <v>0</v>
      </c>
      <c r="S355">
        <v>0</v>
      </c>
      <c r="T355">
        <v>0</v>
      </c>
      <c r="U355">
        <v>1</v>
      </c>
      <c r="V355">
        <v>0</v>
      </c>
      <c r="W355" s="8">
        <v>1</v>
      </c>
      <c r="X355" s="8">
        <v>1</v>
      </c>
      <c r="Y355">
        <v>0</v>
      </c>
      <c r="Z355" s="8" t="s">
        <v>177</v>
      </c>
      <c r="AA355" s="8" t="s">
        <v>132</v>
      </c>
      <c r="AB355" t="s">
        <v>21</v>
      </c>
    </row>
    <row r="356" spans="1:32">
      <c r="A356" s="8">
        <v>2006</v>
      </c>
      <c r="B356" s="8">
        <v>77</v>
      </c>
      <c r="C356" s="8"/>
      <c r="D356" s="8" t="s">
        <v>60</v>
      </c>
      <c r="E356" t="s">
        <v>209</v>
      </c>
      <c r="F356" t="s">
        <v>61</v>
      </c>
      <c r="G356" s="8" t="s">
        <v>37</v>
      </c>
      <c r="I356" s="8" t="s">
        <v>151</v>
      </c>
      <c r="J356" t="s">
        <v>183</v>
      </c>
      <c r="K356" s="8" t="s">
        <v>41</v>
      </c>
      <c r="L356" t="s">
        <v>202</v>
      </c>
      <c r="M356" s="8" t="s">
        <v>193</v>
      </c>
      <c r="O356">
        <v>0</v>
      </c>
      <c r="P356">
        <v>1</v>
      </c>
      <c r="Q356">
        <v>0</v>
      </c>
      <c r="R356">
        <v>0</v>
      </c>
      <c r="S356">
        <v>1</v>
      </c>
      <c r="T356">
        <v>0</v>
      </c>
      <c r="U356">
        <v>1</v>
      </c>
      <c r="V356">
        <v>0</v>
      </c>
      <c r="W356" s="8">
        <v>1</v>
      </c>
      <c r="X356" s="8">
        <v>1</v>
      </c>
      <c r="Y356">
        <v>0</v>
      </c>
      <c r="Z356" s="8" t="s">
        <v>177</v>
      </c>
      <c r="AA356" s="8" t="s">
        <v>132</v>
      </c>
      <c r="AB356" t="s">
        <v>21</v>
      </c>
    </row>
    <row r="357" spans="1:32">
      <c r="A357" s="8">
        <v>2006</v>
      </c>
      <c r="B357" s="8">
        <v>77</v>
      </c>
      <c r="C357" s="8"/>
      <c r="D357" s="8" t="s">
        <v>60</v>
      </c>
      <c r="E357" t="s">
        <v>209</v>
      </c>
      <c r="F357" t="s">
        <v>61</v>
      </c>
      <c r="G357" s="8" t="s">
        <v>193</v>
      </c>
      <c r="H357" t="s">
        <v>185</v>
      </c>
      <c r="I357" s="8" t="s">
        <v>151</v>
      </c>
      <c r="J357" t="s">
        <v>183</v>
      </c>
      <c r="K357" s="8" t="s">
        <v>41</v>
      </c>
      <c r="L357" t="s">
        <v>202</v>
      </c>
      <c r="M357" s="8" t="s">
        <v>193</v>
      </c>
      <c r="O357">
        <v>0</v>
      </c>
      <c r="P357">
        <v>1</v>
      </c>
      <c r="Q357">
        <v>0</v>
      </c>
      <c r="R357">
        <v>0</v>
      </c>
      <c r="S357">
        <v>1</v>
      </c>
      <c r="T357">
        <v>0</v>
      </c>
      <c r="U357">
        <v>1</v>
      </c>
      <c r="V357">
        <v>1</v>
      </c>
      <c r="W357" s="8">
        <v>1</v>
      </c>
      <c r="X357" s="8">
        <v>1</v>
      </c>
      <c r="Y357">
        <v>0</v>
      </c>
      <c r="Z357" s="8" t="s">
        <v>177</v>
      </c>
      <c r="AA357" s="8" t="s">
        <v>132</v>
      </c>
      <c r="AB357" t="s">
        <v>21</v>
      </c>
      <c r="AC357" s="10" t="s">
        <v>1159</v>
      </c>
      <c r="AD357" t="s">
        <v>310</v>
      </c>
    </row>
    <row r="358" spans="1:32">
      <c r="A358" s="8">
        <v>2006</v>
      </c>
      <c r="B358" s="8">
        <v>77</v>
      </c>
      <c r="C358" s="8"/>
      <c r="D358" s="8" t="s">
        <v>60</v>
      </c>
      <c r="E358" t="s">
        <v>209</v>
      </c>
      <c r="F358" t="s">
        <v>61</v>
      </c>
      <c r="G358" s="8" t="s">
        <v>202</v>
      </c>
      <c r="H358" s="8" t="s">
        <v>205</v>
      </c>
      <c r="I358" s="8" t="s">
        <v>151</v>
      </c>
      <c r="J358" s="8" t="s">
        <v>183</v>
      </c>
      <c r="K358" s="8" t="s">
        <v>41</v>
      </c>
      <c r="L358" t="s">
        <v>202</v>
      </c>
      <c r="M358" s="8" t="s">
        <v>193</v>
      </c>
      <c r="N358" s="8"/>
      <c r="O358">
        <v>0</v>
      </c>
      <c r="P358">
        <v>1</v>
      </c>
      <c r="Q358">
        <v>0</v>
      </c>
      <c r="R358">
        <v>0</v>
      </c>
      <c r="S358">
        <v>0</v>
      </c>
      <c r="T358">
        <v>0</v>
      </c>
      <c r="U358">
        <v>1</v>
      </c>
      <c r="V358">
        <v>1</v>
      </c>
      <c r="W358" s="8">
        <v>1</v>
      </c>
      <c r="X358" s="8">
        <v>1</v>
      </c>
      <c r="Y358">
        <v>0</v>
      </c>
      <c r="Z358" s="8" t="s">
        <v>177</v>
      </c>
      <c r="AA358" s="8" t="s">
        <v>132</v>
      </c>
      <c r="AB358" t="s">
        <v>21</v>
      </c>
      <c r="AC358" s="10" t="s">
        <v>1159</v>
      </c>
      <c r="AD358" t="s">
        <v>310</v>
      </c>
    </row>
    <row r="359" spans="1:32">
      <c r="A359" s="8">
        <v>2006</v>
      </c>
      <c r="B359" s="8">
        <v>77</v>
      </c>
      <c r="C359" s="8"/>
      <c r="D359" s="8" t="s">
        <v>60</v>
      </c>
      <c r="E359" t="s">
        <v>209</v>
      </c>
      <c r="F359" t="s">
        <v>61</v>
      </c>
      <c r="G359" s="8" t="s">
        <v>161</v>
      </c>
      <c r="I359" s="8" t="s">
        <v>151</v>
      </c>
      <c r="J359" t="s">
        <v>183</v>
      </c>
      <c r="K359" s="8" t="s">
        <v>41</v>
      </c>
      <c r="L359" t="s">
        <v>161</v>
      </c>
      <c r="O359">
        <v>0</v>
      </c>
      <c r="P359">
        <v>0</v>
      </c>
      <c r="Q359">
        <v>0</v>
      </c>
      <c r="R359">
        <v>0</v>
      </c>
      <c r="S359">
        <v>0</v>
      </c>
      <c r="T359">
        <v>0</v>
      </c>
      <c r="U359">
        <v>0</v>
      </c>
      <c r="V359">
        <v>1</v>
      </c>
      <c r="W359" s="8">
        <v>0</v>
      </c>
      <c r="X359">
        <v>0</v>
      </c>
      <c r="Y359">
        <v>0</v>
      </c>
      <c r="Z359" s="8"/>
      <c r="AA359" s="8" t="s">
        <v>133</v>
      </c>
      <c r="AB359" t="s">
        <v>21</v>
      </c>
      <c r="AC359" s="10" t="s">
        <v>1159</v>
      </c>
      <c r="AD359" t="s">
        <v>310</v>
      </c>
    </row>
    <row r="360" spans="1:32">
      <c r="A360" s="8">
        <v>2006</v>
      </c>
      <c r="B360" s="8">
        <v>78</v>
      </c>
      <c r="C360" s="8"/>
      <c r="D360" s="8" t="s">
        <v>60</v>
      </c>
      <c r="F360" t="s">
        <v>61</v>
      </c>
      <c r="G360" s="8" t="s">
        <v>193</v>
      </c>
      <c r="H360" s="8" t="s">
        <v>185</v>
      </c>
      <c r="I360" s="8" t="s">
        <v>193</v>
      </c>
      <c r="J360" t="s">
        <v>185</v>
      </c>
      <c r="K360" s="8" t="s">
        <v>65</v>
      </c>
      <c r="L360" t="s">
        <v>193</v>
      </c>
      <c r="O360">
        <v>0</v>
      </c>
      <c r="P360">
        <v>1</v>
      </c>
      <c r="Q360">
        <v>1</v>
      </c>
      <c r="R360">
        <v>0</v>
      </c>
      <c r="S360">
        <v>0</v>
      </c>
      <c r="T360">
        <v>0</v>
      </c>
      <c r="U360">
        <v>0</v>
      </c>
      <c r="V360">
        <v>1</v>
      </c>
      <c r="W360" s="8">
        <v>0</v>
      </c>
      <c r="X360">
        <v>0</v>
      </c>
      <c r="Y360">
        <v>0</v>
      </c>
      <c r="Z360" s="8"/>
      <c r="AA360" s="8" t="s">
        <v>110</v>
      </c>
      <c r="AB360" t="s">
        <v>21</v>
      </c>
      <c r="AC360" t="s">
        <v>389</v>
      </c>
    </row>
    <row r="361" spans="1:32">
      <c r="A361" s="8">
        <v>2006</v>
      </c>
      <c r="B361" s="8">
        <v>79</v>
      </c>
      <c r="C361" s="8"/>
      <c r="D361" s="8" t="s">
        <v>60</v>
      </c>
      <c r="E361" t="s">
        <v>209</v>
      </c>
      <c r="F361" t="s">
        <v>61</v>
      </c>
      <c r="G361" s="8" t="s">
        <v>161</v>
      </c>
      <c r="I361" s="8" t="s">
        <v>151</v>
      </c>
      <c r="J361" t="s">
        <v>183</v>
      </c>
      <c r="K361" s="8" t="s">
        <v>41</v>
      </c>
      <c r="L361" t="s">
        <v>161</v>
      </c>
      <c r="O361">
        <v>0</v>
      </c>
      <c r="P361">
        <v>0</v>
      </c>
      <c r="Q361">
        <v>0</v>
      </c>
      <c r="R361">
        <v>0</v>
      </c>
      <c r="S361">
        <v>0</v>
      </c>
      <c r="T361">
        <v>0</v>
      </c>
      <c r="U361">
        <v>0</v>
      </c>
      <c r="V361">
        <v>1</v>
      </c>
      <c r="W361" s="8">
        <v>0</v>
      </c>
      <c r="X361">
        <v>0</v>
      </c>
      <c r="Y361">
        <v>0</v>
      </c>
      <c r="Z361" s="8"/>
      <c r="AA361" s="8" t="s">
        <v>147</v>
      </c>
      <c r="AB361" t="s">
        <v>21</v>
      </c>
      <c r="AC361" t="s">
        <v>389</v>
      </c>
    </row>
    <row r="362" spans="1:32">
      <c r="A362" s="8">
        <v>2008</v>
      </c>
      <c r="B362" s="8">
        <v>80</v>
      </c>
      <c r="C362" s="8"/>
      <c r="D362" s="8" t="s">
        <v>60</v>
      </c>
      <c r="E362" t="s">
        <v>28</v>
      </c>
      <c r="F362" t="s">
        <v>61</v>
      </c>
      <c r="G362" s="8" t="s">
        <v>37</v>
      </c>
      <c r="I362" s="8"/>
      <c r="K362" s="8" t="s">
        <v>41</v>
      </c>
      <c r="L362" t="s">
        <v>37</v>
      </c>
      <c r="O362">
        <v>0</v>
      </c>
      <c r="P362">
        <v>1</v>
      </c>
      <c r="Q362">
        <v>0</v>
      </c>
      <c r="R362">
        <v>1</v>
      </c>
      <c r="S362">
        <v>0</v>
      </c>
      <c r="T362">
        <v>0</v>
      </c>
      <c r="U362">
        <v>0</v>
      </c>
      <c r="V362">
        <v>0</v>
      </c>
      <c r="W362" s="8">
        <v>1</v>
      </c>
      <c r="X362">
        <v>0</v>
      </c>
      <c r="Y362">
        <v>1</v>
      </c>
      <c r="Z362" s="8" t="s">
        <v>164</v>
      </c>
      <c r="AA362" s="8" t="s">
        <v>111</v>
      </c>
      <c r="AB362" t="s">
        <v>21</v>
      </c>
    </row>
    <row r="363" spans="1:32">
      <c r="A363" s="8">
        <v>2008</v>
      </c>
      <c r="B363" s="8">
        <v>81</v>
      </c>
      <c r="C363" s="8"/>
      <c r="D363" s="8" t="s">
        <v>60</v>
      </c>
      <c r="E363" t="s">
        <v>209</v>
      </c>
      <c r="F363" t="s">
        <v>61</v>
      </c>
      <c r="G363" s="8" t="s">
        <v>37</v>
      </c>
      <c r="I363" s="8"/>
      <c r="K363" s="8" t="s">
        <v>41</v>
      </c>
      <c r="L363" t="s">
        <v>37</v>
      </c>
      <c r="O363">
        <v>0</v>
      </c>
      <c r="P363">
        <v>1</v>
      </c>
      <c r="Q363">
        <v>0</v>
      </c>
      <c r="R363">
        <v>0</v>
      </c>
      <c r="S363">
        <v>0</v>
      </c>
      <c r="T363">
        <v>0</v>
      </c>
      <c r="U363">
        <v>0</v>
      </c>
      <c r="V363">
        <v>0</v>
      </c>
      <c r="W363" s="8">
        <v>1</v>
      </c>
      <c r="X363">
        <v>1</v>
      </c>
      <c r="Y363">
        <v>0</v>
      </c>
      <c r="Z363" s="8" t="s">
        <v>177</v>
      </c>
      <c r="AA363" s="8" t="s">
        <v>148</v>
      </c>
      <c r="AB363" t="s">
        <v>21</v>
      </c>
    </row>
    <row r="364" spans="1:32">
      <c r="A364" s="8">
        <v>2009</v>
      </c>
      <c r="B364" s="8">
        <v>82</v>
      </c>
      <c r="C364" s="8"/>
      <c r="D364" s="8" t="s">
        <v>60</v>
      </c>
      <c r="F364" t="s">
        <v>61</v>
      </c>
      <c r="G364" s="8" t="s">
        <v>26</v>
      </c>
      <c r="I364" s="8"/>
      <c r="K364" s="8" t="s">
        <v>25</v>
      </c>
      <c r="L364" t="s">
        <v>26</v>
      </c>
      <c r="O364">
        <v>0</v>
      </c>
      <c r="P364">
        <v>0</v>
      </c>
      <c r="Q364">
        <v>0</v>
      </c>
      <c r="R364">
        <v>0</v>
      </c>
      <c r="S364">
        <v>0</v>
      </c>
      <c r="T364">
        <v>0</v>
      </c>
      <c r="U364">
        <v>0</v>
      </c>
      <c r="V364">
        <v>0</v>
      </c>
      <c r="W364" s="8">
        <v>1</v>
      </c>
      <c r="X364">
        <v>0</v>
      </c>
      <c r="Y364">
        <v>0</v>
      </c>
      <c r="Z364" s="8"/>
      <c r="AA364" s="8" t="s">
        <v>112</v>
      </c>
      <c r="AB364" t="s">
        <v>21</v>
      </c>
      <c r="AC364" t="s">
        <v>390</v>
      </c>
    </row>
    <row r="365" spans="1:32">
      <c r="A365" s="8">
        <v>2009</v>
      </c>
      <c r="B365" s="8">
        <v>83</v>
      </c>
      <c r="C365" s="8"/>
      <c r="D365" s="8" t="s">
        <v>60</v>
      </c>
      <c r="E365" t="s">
        <v>209</v>
      </c>
      <c r="F365" t="s">
        <v>61</v>
      </c>
      <c r="G365" s="8" t="s">
        <v>157</v>
      </c>
      <c r="H365" s="8" t="s">
        <v>190</v>
      </c>
      <c r="I365" s="8" t="s">
        <v>157</v>
      </c>
      <c r="J365" t="s">
        <v>190</v>
      </c>
      <c r="K365" s="8" t="s">
        <v>65</v>
      </c>
      <c r="L365" t="s">
        <v>157</v>
      </c>
      <c r="O365">
        <v>0</v>
      </c>
      <c r="P365">
        <v>0</v>
      </c>
      <c r="Q365">
        <v>1</v>
      </c>
      <c r="R365">
        <v>0</v>
      </c>
      <c r="S365">
        <v>0</v>
      </c>
      <c r="T365">
        <v>0</v>
      </c>
      <c r="U365">
        <v>0</v>
      </c>
      <c r="V365">
        <v>1</v>
      </c>
      <c r="W365" s="8">
        <v>0</v>
      </c>
      <c r="X365">
        <v>0</v>
      </c>
      <c r="Y365">
        <v>0</v>
      </c>
      <c r="Z365" s="8"/>
      <c r="AA365" s="8" t="s">
        <v>134</v>
      </c>
      <c r="AB365" t="s">
        <v>21</v>
      </c>
      <c r="AC365" t="s">
        <v>391</v>
      </c>
    </row>
    <row r="366" spans="1:32">
      <c r="A366" s="8">
        <v>2009</v>
      </c>
      <c r="B366" s="8">
        <v>84</v>
      </c>
      <c r="C366" s="8"/>
      <c r="D366" s="8" t="s">
        <v>60</v>
      </c>
      <c r="E366" t="s">
        <v>209</v>
      </c>
      <c r="F366" t="s">
        <v>61</v>
      </c>
      <c r="G366" s="8" t="s">
        <v>157</v>
      </c>
      <c r="H366" s="8" t="s">
        <v>190</v>
      </c>
      <c r="I366" s="8" t="s">
        <v>157</v>
      </c>
      <c r="J366" t="s">
        <v>190</v>
      </c>
      <c r="K366" s="8" t="s">
        <v>41</v>
      </c>
      <c r="L366" t="s">
        <v>157</v>
      </c>
      <c r="O366">
        <v>0</v>
      </c>
      <c r="P366">
        <v>1</v>
      </c>
      <c r="Q366">
        <v>1</v>
      </c>
      <c r="R366">
        <v>0</v>
      </c>
      <c r="S366">
        <v>0</v>
      </c>
      <c r="T366">
        <v>0</v>
      </c>
      <c r="U366">
        <v>1</v>
      </c>
      <c r="V366">
        <v>0</v>
      </c>
      <c r="W366" s="8">
        <v>1</v>
      </c>
      <c r="X366" s="8">
        <v>1</v>
      </c>
      <c r="Y366">
        <v>0</v>
      </c>
      <c r="Z366" s="8" t="s">
        <v>178</v>
      </c>
      <c r="AA366" s="8" t="s">
        <v>135</v>
      </c>
      <c r="AB366" t="s">
        <v>21</v>
      </c>
      <c r="AD366" t="s">
        <v>392</v>
      </c>
    </row>
    <row r="367" spans="1:32">
      <c r="A367" s="8">
        <v>2009</v>
      </c>
      <c r="B367" s="8">
        <v>84</v>
      </c>
      <c r="C367" s="8"/>
      <c r="D367" s="8" t="s">
        <v>60</v>
      </c>
      <c r="E367" t="s">
        <v>209</v>
      </c>
      <c r="F367" t="s">
        <v>61</v>
      </c>
      <c r="G367" s="8" t="s">
        <v>160</v>
      </c>
      <c r="I367" s="8" t="s">
        <v>157</v>
      </c>
      <c r="J367" t="s">
        <v>190</v>
      </c>
      <c r="K367" s="8" t="s">
        <v>41</v>
      </c>
      <c r="L367" t="s">
        <v>157</v>
      </c>
      <c r="O367">
        <v>0</v>
      </c>
      <c r="P367">
        <v>1</v>
      </c>
      <c r="Q367">
        <v>1</v>
      </c>
      <c r="R367">
        <v>0</v>
      </c>
      <c r="S367">
        <v>0</v>
      </c>
      <c r="T367">
        <v>0</v>
      </c>
      <c r="U367">
        <v>1</v>
      </c>
      <c r="V367">
        <v>0</v>
      </c>
      <c r="W367" s="8">
        <v>1</v>
      </c>
      <c r="X367" s="8">
        <v>1</v>
      </c>
      <c r="Y367">
        <v>0</v>
      </c>
      <c r="Z367" s="8" t="s">
        <v>178</v>
      </c>
      <c r="AA367" s="8" t="s">
        <v>135</v>
      </c>
      <c r="AB367" t="s">
        <v>21</v>
      </c>
      <c r="AC367" s="8" t="s">
        <v>393</v>
      </c>
      <c r="AD367" t="s">
        <v>392</v>
      </c>
    </row>
    <row r="368" spans="1:32">
      <c r="A368" s="8">
        <v>2009</v>
      </c>
      <c r="B368" s="8">
        <v>84</v>
      </c>
      <c r="C368" s="8"/>
      <c r="D368" s="8" t="s">
        <v>60</v>
      </c>
      <c r="E368" t="s">
        <v>209</v>
      </c>
      <c r="F368" t="s">
        <v>61</v>
      </c>
      <c r="G368" s="8" t="s">
        <v>37</v>
      </c>
      <c r="I368" s="8" t="s">
        <v>157</v>
      </c>
      <c r="J368" t="s">
        <v>190</v>
      </c>
      <c r="K368" s="8" t="s">
        <v>41</v>
      </c>
      <c r="L368" t="s">
        <v>157</v>
      </c>
      <c r="O368">
        <v>0</v>
      </c>
      <c r="P368">
        <v>1</v>
      </c>
      <c r="Q368">
        <v>1</v>
      </c>
      <c r="R368">
        <v>0</v>
      </c>
      <c r="S368">
        <v>0</v>
      </c>
      <c r="T368">
        <v>0</v>
      </c>
      <c r="U368">
        <v>1</v>
      </c>
      <c r="V368">
        <v>0</v>
      </c>
      <c r="W368" s="8">
        <v>1</v>
      </c>
      <c r="X368" s="8">
        <v>1</v>
      </c>
      <c r="Y368">
        <v>0</v>
      </c>
      <c r="Z368" s="8" t="s">
        <v>178</v>
      </c>
      <c r="AA368" s="8" t="s">
        <v>135</v>
      </c>
      <c r="AB368" t="s">
        <v>21</v>
      </c>
      <c r="AC368" s="8" t="s">
        <v>393</v>
      </c>
      <c r="AD368" t="s">
        <v>392</v>
      </c>
    </row>
    <row r="369" spans="1:34">
      <c r="A369" s="8">
        <v>2009</v>
      </c>
      <c r="B369" s="8">
        <v>85</v>
      </c>
      <c r="C369" s="8"/>
      <c r="D369" s="8" t="s">
        <v>60</v>
      </c>
      <c r="E369" t="s">
        <v>209</v>
      </c>
      <c r="F369" t="s">
        <v>61</v>
      </c>
      <c r="G369" s="8" t="s">
        <v>156</v>
      </c>
      <c r="H369" s="8" t="s">
        <v>189</v>
      </c>
      <c r="I369" s="8" t="s">
        <v>156</v>
      </c>
      <c r="J369" t="s">
        <v>189</v>
      </c>
      <c r="K369" s="8" t="s">
        <v>65</v>
      </c>
      <c r="L369" t="s">
        <v>156</v>
      </c>
      <c r="O369">
        <v>0</v>
      </c>
      <c r="P369">
        <v>1</v>
      </c>
      <c r="Q369">
        <v>1</v>
      </c>
      <c r="R369">
        <v>1</v>
      </c>
      <c r="S369">
        <v>0</v>
      </c>
      <c r="T369">
        <v>0</v>
      </c>
      <c r="U369">
        <v>0</v>
      </c>
      <c r="V369">
        <v>1</v>
      </c>
      <c r="W369" s="8">
        <v>0</v>
      </c>
      <c r="X369">
        <v>0</v>
      </c>
      <c r="Y369">
        <v>0</v>
      </c>
      <c r="Z369" s="8"/>
      <c r="AA369" s="8" t="s">
        <v>136</v>
      </c>
      <c r="AB369" t="s">
        <v>21</v>
      </c>
      <c r="AC369" t="s">
        <v>394</v>
      </c>
    </row>
    <row r="370" spans="1:34">
      <c r="A370" s="8">
        <v>2009</v>
      </c>
      <c r="B370" s="8">
        <v>86</v>
      </c>
      <c r="C370" s="8"/>
      <c r="D370" s="8" t="s">
        <v>60</v>
      </c>
      <c r="F370" t="s">
        <v>61</v>
      </c>
      <c r="G370" s="8" t="s">
        <v>37</v>
      </c>
      <c r="I370" s="8"/>
      <c r="K370" t="s">
        <v>41</v>
      </c>
      <c r="L370" t="s">
        <v>37</v>
      </c>
      <c r="O370">
        <v>0</v>
      </c>
      <c r="P370">
        <v>1</v>
      </c>
      <c r="Q370">
        <v>0</v>
      </c>
      <c r="R370">
        <v>1</v>
      </c>
      <c r="S370">
        <v>0</v>
      </c>
      <c r="T370">
        <v>0</v>
      </c>
      <c r="U370">
        <v>0</v>
      </c>
      <c r="V370">
        <v>1</v>
      </c>
      <c r="W370" s="8">
        <v>0</v>
      </c>
      <c r="X370">
        <v>0</v>
      </c>
      <c r="Y370">
        <v>0</v>
      </c>
      <c r="Z370" s="8"/>
      <c r="AA370" s="8" t="s">
        <v>149</v>
      </c>
      <c r="AB370" t="s">
        <v>21</v>
      </c>
      <c r="AC370" t="s">
        <v>395</v>
      </c>
    </row>
    <row r="371" spans="1:34">
      <c r="A371" s="8">
        <v>2010</v>
      </c>
      <c r="B371" s="8">
        <v>87</v>
      </c>
      <c r="C371" s="8"/>
      <c r="D371" s="8" t="s">
        <v>60</v>
      </c>
      <c r="F371" t="s">
        <v>61</v>
      </c>
      <c r="G371" s="8" t="s">
        <v>26</v>
      </c>
      <c r="I371" s="8" t="s">
        <v>60</v>
      </c>
      <c r="J371" t="s">
        <v>61</v>
      </c>
      <c r="K371" s="8" t="s">
        <v>25</v>
      </c>
      <c r="L371" t="s">
        <v>26</v>
      </c>
      <c r="O371">
        <v>0</v>
      </c>
      <c r="P371">
        <v>1</v>
      </c>
      <c r="Q371">
        <v>0</v>
      </c>
      <c r="R371">
        <v>1</v>
      </c>
      <c r="S371">
        <v>0</v>
      </c>
      <c r="T371">
        <v>0</v>
      </c>
      <c r="U371">
        <v>0</v>
      </c>
      <c r="V371">
        <v>0</v>
      </c>
      <c r="W371" s="8">
        <v>0</v>
      </c>
      <c r="X371">
        <v>0</v>
      </c>
      <c r="Y371">
        <v>0</v>
      </c>
      <c r="Z371" s="8"/>
      <c r="AA371" s="8" t="s">
        <v>113</v>
      </c>
      <c r="AB371" t="s">
        <v>21</v>
      </c>
    </row>
    <row r="372" spans="1:34">
      <c r="A372" s="8">
        <v>2010</v>
      </c>
      <c r="B372" s="8">
        <v>88</v>
      </c>
      <c r="C372" s="8"/>
      <c r="D372" s="8" t="s">
        <v>60</v>
      </c>
      <c r="E372" t="s">
        <v>28</v>
      </c>
      <c r="F372" t="s">
        <v>61</v>
      </c>
      <c r="G372" s="8" t="s">
        <v>26</v>
      </c>
      <c r="I372" s="8" t="s">
        <v>60</v>
      </c>
      <c r="J372" t="s">
        <v>61</v>
      </c>
      <c r="K372" s="8" t="s">
        <v>25</v>
      </c>
      <c r="L372" t="s">
        <v>26</v>
      </c>
      <c r="O372">
        <v>0</v>
      </c>
      <c r="P372">
        <v>1</v>
      </c>
      <c r="Q372">
        <v>0</v>
      </c>
      <c r="R372">
        <v>0</v>
      </c>
      <c r="S372">
        <v>0</v>
      </c>
      <c r="T372">
        <v>0</v>
      </c>
      <c r="U372">
        <v>0</v>
      </c>
      <c r="V372">
        <v>0</v>
      </c>
      <c r="W372" s="8">
        <v>0</v>
      </c>
      <c r="X372">
        <v>0</v>
      </c>
      <c r="Y372">
        <v>0</v>
      </c>
      <c r="Z372" s="8"/>
      <c r="AA372" s="8" t="s">
        <v>114</v>
      </c>
      <c r="AB372" t="s">
        <v>21</v>
      </c>
    </row>
    <row r="373" spans="1:34">
      <c r="A373" s="8">
        <v>2010</v>
      </c>
      <c r="B373" s="8">
        <v>89</v>
      </c>
      <c r="C373" s="8"/>
      <c r="D373" s="8" t="s">
        <v>60</v>
      </c>
      <c r="E373" t="s">
        <v>209</v>
      </c>
      <c r="F373" t="s">
        <v>61</v>
      </c>
      <c r="G373" s="8" t="s">
        <v>156</v>
      </c>
      <c r="H373" s="8" t="s">
        <v>189</v>
      </c>
      <c r="I373" s="8" t="s">
        <v>156</v>
      </c>
      <c r="J373" t="s">
        <v>189</v>
      </c>
      <c r="K373" s="8" t="s">
        <v>65</v>
      </c>
      <c r="L373" t="s">
        <v>156</v>
      </c>
      <c r="O373">
        <v>0</v>
      </c>
      <c r="P373">
        <v>1</v>
      </c>
      <c r="Q373">
        <v>1</v>
      </c>
      <c r="R373">
        <v>0</v>
      </c>
      <c r="S373">
        <v>0</v>
      </c>
      <c r="T373">
        <v>0</v>
      </c>
      <c r="U373">
        <v>0</v>
      </c>
      <c r="V373">
        <v>0</v>
      </c>
      <c r="W373" s="8">
        <v>0</v>
      </c>
      <c r="X373">
        <v>0</v>
      </c>
      <c r="Y373">
        <v>0</v>
      </c>
      <c r="Z373" s="8"/>
      <c r="AA373" s="8" t="s">
        <v>137</v>
      </c>
      <c r="AB373" t="s">
        <v>21</v>
      </c>
    </row>
    <row r="374" spans="1:34">
      <c r="A374" s="8">
        <v>2010</v>
      </c>
      <c r="B374" s="8">
        <v>90</v>
      </c>
      <c r="C374" s="8"/>
      <c r="D374" s="8" t="s">
        <v>60</v>
      </c>
      <c r="E374" t="s">
        <v>209</v>
      </c>
      <c r="F374" t="s">
        <v>61</v>
      </c>
      <c r="G374" s="8" t="s">
        <v>26</v>
      </c>
      <c r="I374" s="8" t="s">
        <v>156</v>
      </c>
      <c r="J374" t="s">
        <v>189</v>
      </c>
      <c r="K374" s="8" t="s">
        <v>65</v>
      </c>
      <c r="L374" t="s">
        <v>156</v>
      </c>
      <c r="O374">
        <v>0</v>
      </c>
      <c r="P374">
        <v>0</v>
      </c>
      <c r="Q374">
        <v>0</v>
      </c>
      <c r="R374">
        <v>0</v>
      </c>
      <c r="S374">
        <v>0</v>
      </c>
      <c r="T374">
        <v>0</v>
      </c>
      <c r="U374">
        <v>0</v>
      </c>
      <c r="V374">
        <v>0</v>
      </c>
      <c r="W374" s="8">
        <v>0</v>
      </c>
      <c r="X374">
        <v>0</v>
      </c>
      <c r="Y374">
        <v>0</v>
      </c>
      <c r="Z374" s="8"/>
      <c r="AA374" s="8" t="s">
        <v>138</v>
      </c>
      <c r="AB374" t="s">
        <v>21</v>
      </c>
    </row>
    <row r="375" spans="1:34">
      <c r="A375" s="8">
        <v>2010</v>
      </c>
      <c r="B375" s="8">
        <v>90</v>
      </c>
      <c r="C375" s="8"/>
      <c r="D375" s="8" t="s">
        <v>60</v>
      </c>
      <c r="E375" t="s">
        <v>209</v>
      </c>
      <c r="F375" t="s">
        <v>61</v>
      </c>
      <c r="G375" s="8" t="s">
        <v>156</v>
      </c>
      <c r="H375" s="8" t="s">
        <v>189</v>
      </c>
      <c r="I375" s="8" t="s">
        <v>156</v>
      </c>
      <c r="J375" t="s">
        <v>189</v>
      </c>
      <c r="K375" s="8" t="s">
        <v>65</v>
      </c>
      <c r="L375" t="s">
        <v>156</v>
      </c>
      <c r="O375">
        <v>0</v>
      </c>
      <c r="P375">
        <v>1</v>
      </c>
      <c r="Q375">
        <v>1</v>
      </c>
      <c r="R375">
        <v>1</v>
      </c>
      <c r="S375">
        <v>0</v>
      </c>
      <c r="T375">
        <v>0</v>
      </c>
      <c r="U375">
        <v>0</v>
      </c>
      <c r="V375">
        <v>0</v>
      </c>
      <c r="W375" s="8">
        <v>0</v>
      </c>
      <c r="X375">
        <v>0</v>
      </c>
      <c r="Y375">
        <v>0</v>
      </c>
      <c r="Z375" s="8"/>
      <c r="AA375" s="8" t="s">
        <v>138</v>
      </c>
      <c r="AB375" t="s">
        <v>21</v>
      </c>
    </row>
    <row r="376" spans="1:34">
      <c r="A376" s="8">
        <v>2010</v>
      </c>
      <c r="B376" s="8">
        <v>91</v>
      </c>
      <c r="C376" s="8"/>
      <c r="D376" s="8" t="s">
        <v>60</v>
      </c>
      <c r="E376" t="s">
        <v>209</v>
      </c>
      <c r="F376" t="s">
        <v>61</v>
      </c>
      <c r="G376" s="8" t="s">
        <v>157</v>
      </c>
      <c r="H376" s="8" t="s">
        <v>190</v>
      </c>
      <c r="I376" s="8" t="s">
        <v>157</v>
      </c>
      <c r="J376" t="s">
        <v>190</v>
      </c>
      <c r="K376" s="8" t="s">
        <v>65</v>
      </c>
      <c r="L376" t="s">
        <v>157</v>
      </c>
      <c r="O376">
        <v>0</v>
      </c>
      <c r="P376">
        <v>1</v>
      </c>
      <c r="Q376">
        <v>1</v>
      </c>
      <c r="R376">
        <v>0</v>
      </c>
      <c r="S376">
        <v>1</v>
      </c>
      <c r="T376">
        <v>0</v>
      </c>
      <c r="U376">
        <v>0</v>
      </c>
      <c r="V376">
        <v>0</v>
      </c>
      <c r="W376" s="8">
        <v>1</v>
      </c>
      <c r="X376">
        <v>1</v>
      </c>
      <c r="Y376">
        <v>0</v>
      </c>
      <c r="Z376" t="s">
        <v>396</v>
      </c>
      <c r="AA376" s="8" t="s">
        <v>139</v>
      </c>
      <c r="AB376" t="s">
        <v>21</v>
      </c>
      <c r="AD376" t="s">
        <v>397</v>
      </c>
    </row>
    <row r="377" spans="1:34">
      <c r="A377" s="8">
        <v>2010</v>
      </c>
      <c r="B377" s="8">
        <v>92</v>
      </c>
      <c r="C377" s="8"/>
      <c r="D377" s="8" t="s">
        <v>60</v>
      </c>
      <c r="E377" t="s">
        <v>209</v>
      </c>
      <c r="F377" t="s">
        <v>61</v>
      </c>
      <c r="G377" s="8" t="s">
        <v>157</v>
      </c>
      <c r="H377" s="8" t="s">
        <v>190</v>
      </c>
      <c r="I377" s="8" t="s">
        <v>157</v>
      </c>
      <c r="J377" t="s">
        <v>190</v>
      </c>
      <c r="K377" s="8" t="s">
        <v>65</v>
      </c>
      <c r="L377" t="s">
        <v>157</v>
      </c>
      <c r="O377">
        <v>0</v>
      </c>
      <c r="P377">
        <v>1</v>
      </c>
      <c r="Q377">
        <v>1</v>
      </c>
      <c r="R377">
        <v>0</v>
      </c>
      <c r="S377">
        <v>0</v>
      </c>
      <c r="T377">
        <v>0</v>
      </c>
      <c r="U377">
        <v>0</v>
      </c>
      <c r="V377">
        <v>1</v>
      </c>
      <c r="W377" s="8">
        <v>0</v>
      </c>
      <c r="X377">
        <v>0</v>
      </c>
      <c r="Y377">
        <v>0</v>
      </c>
      <c r="Z377" s="8"/>
      <c r="AA377" s="8" t="s">
        <v>140</v>
      </c>
      <c r="AB377" t="s">
        <v>21</v>
      </c>
      <c r="AC377" t="s">
        <v>399</v>
      </c>
    </row>
    <row r="378" spans="1:34">
      <c r="A378" s="8">
        <v>2011</v>
      </c>
      <c r="B378" s="8">
        <v>93</v>
      </c>
      <c r="C378" s="8"/>
      <c r="D378" s="8" t="s">
        <v>60</v>
      </c>
      <c r="E378" t="s">
        <v>209</v>
      </c>
      <c r="F378" t="s">
        <v>61</v>
      </c>
      <c r="G378" s="8" t="s">
        <v>157</v>
      </c>
      <c r="H378" s="8" t="s">
        <v>190</v>
      </c>
      <c r="I378" s="8" t="s">
        <v>157</v>
      </c>
      <c r="J378" s="8" t="s">
        <v>190</v>
      </c>
      <c r="K378" s="8" t="s">
        <v>65</v>
      </c>
      <c r="L378" s="8" t="s">
        <v>157</v>
      </c>
      <c r="M378" s="8"/>
      <c r="N378" s="8"/>
      <c r="O378">
        <v>0</v>
      </c>
      <c r="P378">
        <v>1</v>
      </c>
      <c r="Q378">
        <v>1</v>
      </c>
      <c r="R378">
        <v>1</v>
      </c>
      <c r="S378">
        <v>0</v>
      </c>
      <c r="T378">
        <v>0</v>
      </c>
      <c r="U378">
        <v>0</v>
      </c>
      <c r="V378">
        <v>0</v>
      </c>
      <c r="W378" s="8">
        <v>1</v>
      </c>
      <c r="X378">
        <v>1</v>
      </c>
      <c r="Y378">
        <v>0</v>
      </c>
      <c r="Z378" t="s">
        <v>398</v>
      </c>
      <c r="AA378" s="8" t="s">
        <v>402</v>
      </c>
      <c r="AB378" t="s">
        <v>401</v>
      </c>
      <c r="AD378" t="s">
        <v>397</v>
      </c>
      <c r="AF378" t="s">
        <v>400</v>
      </c>
      <c r="AH378" t="s">
        <v>403</v>
      </c>
    </row>
    <row r="379" spans="1:34">
      <c r="A379" s="8">
        <v>2011</v>
      </c>
      <c r="B379" s="8">
        <v>94</v>
      </c>
      <c r="C379" s="8"/>
      <c r="D379" s="8" t="s">
        <v>60</v>
      </c>
      <c r="F379" t="s">
        <v>61</v>
      </c>
      <c r="G379" s="8" t="s">
        <v>163</v>
      </c>
      <c r="I379" s="8"/>
      <c r="K379" t="s">
        <v>201</v>
      </c>
      <c r="L379" s="8" t="s">
        <v>163</v>
      </c>
      <c r="M379" s="8"/>
      <c r="N379" s="8"/>
      <c r="O379">
        <v>0</v>
      </c>
      <c r="P379">
        <v>1</v>
      </c>
      <c r="Q379">
        <v>0</v>
      </c>
      <c r="R379">
        <v>1</v>
      </c>
      <c r="S379">
        <v>0</v>
      </c>
      <c r="T379">
        <v>0</v>
      </c>
      <c r="U379">
        <v>0</v>
      </c>
      <c r="V379">
        <v>0</v>
      </c>
      <c r="W379" s="8">
        <v>1</v>
      </c>
      <c r="X379">
        <v>0</v>
      </c>
      <c r="Y379">
        <v>1</v>
      </c>
      <c r="Z379" s="8" t="s">
        <v>164</v>
      </c>
      <c r="AA379" s="8" t="s">
        <v>150</v>
      </c>
      <c r="AB379" t="s">
        <v>21</v>
      </c>
    </row>
    <row r="380" spans="1:34">
      <c r="A380">
        <v>2011</v>
      </c>
      <c r="B380" s="8">
        <v>95</v>
      </c>
      <c r="D380" t="s">
        <v>18</v>
      </c>
      <c r="F380" t="s">
        <v>19</v>
      </c>
      <c r="G380" t="s">
        <v>26</v>
      </c>
      <c r="I380" t="s">
        <v>22</v>
      </c>
      <c r="J380" t="s">
        <v>24</v>
      </c>
      <c r="K380" t="s">
        <v>25</v>
      </c>
      <c r="L380" t="s">
        <v>26</v>
      </c>
      <c r="O380">
        <v>0</v>
      </c>
      <c r="P380">
        <v>1</v>
      </c>
      <c r="Q380">
        <v>1</v>
      </c>
      <c r="R380">
        <v>0</v>
      </c>
      <c r="S380">
        <v>0</v>
      </c>
      <c r="T380">
        <v>0</v>
      </c>
      <c r="U380">
        <v>0</v>
      </c>
      <c r="V380">
        <v>0</v>
      </c>
      <c r="W380">
        <v>0</v>
      </c>
      <c r="X380">
        <v>0</v>
      </c>
      <c r="Y380">
        <v>0</v>
      </c>
      <c r="AA380" t="s">
        <v>20</v>
      </c>
      <c r="AB380" t="s">
        <v>21</v>
      </c>
    </row>
    <row r="381" spans="1:34">
      <c r="A381">
        <v>2011</v>
      </c>
      <c r="B381" s="8">
        <v>96</v>
      </c>
      <c r="D381" t="s">
        <v>18</v>
      </c>
      <c r="E381" t="s">
        <v>28</v>
      </c>
      <c r="F381" t="s">
        <v>19</v>
      </c>
      <c r="G381" t="s">
        <v>26</v>
      </c>
      <c r="I381" t="s">
        <v>22</v>
      </c>
      <c r="J381" t="s">
        <v>24</v>
      </c>
      <c r="K381" t="s">
        <v>25</v>
      </c>
      <c r="L381" t="s">
        <v>26</v>
      </c>
      <c r="O381">
        <v>0</v>
      </c>
      <c r="P381">
        <v>1</v>
      </c>
      <c r="Q381">
        <v>1</v>
      </c>
      <c r="R381">
        <v>0</v>
      </c>
      <c r="S381">
        <v>0</v>
      </c>
      <c r="T381">
        <v>0</v>
      </c>
      <c r="U381">
        <v>1</v>
      </c>
      <c r="V381">
        <v>0</v>
      </c>
      <c r="W381">
        <v>1</v>
      </c>
      <c r="X381">
        <v>1</v>
      </c>
      <c r="Y381">
        <v>0</v>
      </c>
      <c r="Z381" s="10" t="s">
        <v>29</v>
      </c>
      <c r="AA381" t="s">
        <v>27</v>
      </c>
      <c r="AB381" t="s">
        <v>21</v>
      </c>
    </row>
    <row r="382" spans="1:34">
      <c r="A382">
        <v>2011</v>
      </c>
      <c r="B382" s="8">
        <v>97</v>
      </c>
      <c r="D382" t="s">
        <v>18</v>
      </c>
      <c r="F382" t="s">
        <v>19</v>
      </c>
      <c r="G382" t="s">
        <v>26</v>
      </c>
      <c r="I382" t="s">
        <v>22</v>
      </c>
      <c r="J382" t="s">
        <v>24</v>
      </c>
      <c r="K382" t="s">
        <v>25</v>
      </c>
      <c r="L382" t="s">
        <v>26</v>
      </c>
      <c r="O382">
        <v>0</v>
      </c>
      <c r="P382">
        <v>1</v>
      </c>
      <c r="Q382">
        <v>1</v>
      </c>
      <c r="R382">
        <v>0</v>
      </c>
      <c r="S382">
        <v>0</v>
      </c>
      <c r="T382">
        <v>0</v>
      </c>
      <c r="U382">
        <v>1</v>
      </c>
      <c r="V382">
        <v>0</v>
      </c>
      <c r="W382">
        <v>1</v>
      </c>
      <c r="X382">
        <v>1</v>
      </c>
      <c r="Y382">
        <v>0</v>
      </c>
      <c r="Z382" s="10" t="s">
        <v>31</v>
      </c>
      <c r="AA382" t="s">
        <v>30</v>
      </c>
      <c r="AB382" t="s">
        <v>21</v>
      </c>
    </row>
    <row r="383" spans="1:34">
      <c r="A383">
        <v>2011</v>
      </c>
      <c r="B383" s="8">
        <v>98</v>
      </c>
      <c r="D383" t="s">
        <v>18</v>
      </c>
      <c r="F383" t="s">
        <v>19</v>
      </c>
      <c r="G383" t="s">
        <v>26</v>
      </c>
      <c r="I383" t="s">
        <v>22</v>
      </c>
      <c r="J383" t="s">
        <v>24</v>
      </c>
      <c r="K383" t="s">
        <v>25</v>
      </c>
      <c r="L383" t="s">
        <v>26</v>
      </c>
      <c r="O383">
        <v>0</v>
      </c>
      <c r="P383">
        <v>1</v>
      </c>
      <c r="Q383">
        <v>1</v>
      </c>
      <c r="R383">
        <v>0</v>
      </c>
      <c r="S383">
        <v>0</v>
      </c>
      <c r="T383">
        <v>0</v>
      </c>
      <c r="U383">
        <v>0</v>
      </c>
      <c r="V383">
        <v>0</v>
      </c>
      <c r="W383">
        <v>0</v>
      </c>
      <c r="X383">
        <v>0</v>
      </c>
      <c r="Y383">
        <v>0</v>
      </c>
      <c r="AA383" t="s">
        <v>32</v>
      </c>
      <c r="AB383" t="s">
        <v>21</v>
      </c>
    </row>
    <row r="384" spans="1:34">
      <c r="A384">
        <v>2011</v>
      </c>
      <c r="B384" s="8">
        <v>99</v>
      </c>
      <c r="D384" t="s">
        <v>18</v>
      </c>
      <c r="F384" t="s">
        <v>19</v>
      </c>
      <c r="G384" t="s">
        <v>26</v>
      </c>
      <c r="I384" t="s">
        <v>22</v>
      </c>
      <c r="J384" t="s">
        <v>24</v>
      </c>
      <c r="K384" t="s">
        <v>25</v>
      </c>
      <c r="L384" t="s">
        <v>26</v>
      </c>
      <c r="O384">
        <v>0</v>
      </c>
      <c r="P384">
        <v>1</v>
      </c>
      <c r="Q384">
        <v>1</v>
      </c>
      <c r="R384">
        <v>0</v>
      </c>
      <c r="S384">
        <v>0</v>
      </c>
      <c r="T384">
        <v>0</v>
      </c>
      <c r="U384">
        <v>1</v>
      </c>
      <c r="V384">
        <v>0</v>
      </c>
      <c r="W384">
        <v>1</v>
      </c>
      <c r="X384">
        <v>1</v>
      </c>
      <c r="Y384">
        <v>0</v>
      </c>
      <c r="Z384" s="10" t="s">
        <v>33</v>
      </c>
      <c r="AA384" t="s">
        <v>34</v>
      </c>
      <c r="AB384" t="s">
        <v>21</v>
      </c>
    </row>
    <row r="385" spans="1:30">
      <c r="A385" s="8">
        <v>2011</v>
      </c>
      <c r="B385" s="8">
        <v>100</v>
      </c>
      <c r="D385" s="8" t="s">
        <v>60</v>
      </c>
      <c r="E385" t="s">
        <v>247</v>
      </c>
      <c r="F385" t="s">
        <v>61</v>
      </c>
      <c r="G385" s="8" t="s">
        <v>26</v>
      </c>
      <c r="I385" s="8"/>
      <c r="K385" t="s">
        <v>25</v>
      </c>
      <c r="L385" t="s">
        <v>26</v>
      </c>
      <c r="O385">
        <v>0</v>
      </c>
      <c r="P385">
        <v>1</v>
      </c>
      <c r="Q385">
        <v>1</v>
      </c>
      <c r="R385">
        <v>0</v>
      </c>
      <c r="S385">
        <v>0</v>
      </c>
      <c r="T385">
        <v>0</v>
      </c>
      <c r="U385">
        <v>0</v>
      </c>
      <c r="V385">
        <v>0</v>
      </c>
      <c r="W385" s="8">
        <v>1</v>
      </c>
      <c r="X385">
        <v>0</v>
      </c>
      <c r="Y385">
        <v>1</v>
      </c>
      <c r="Z385" s="8" t="s">
        <v>164</v>
      </c>
      <c r="AA385" s="8" t="s">
        <v>214</v>
      </c>
      <c r="AB385" t="s">
        <v>21</v>
      </c>
    </row>
    <row r="386" spans="1:30">
      <c r="A386" s="8">
        <v>2011</v>
      </c>
      <c r="B386" s="8">
        <v>101</v>
      </c>
      <c r="D386" s="8" t="s">
        <v>60</v>
      </c>
      <c r="E386" t="s">
        <v>247</v>
      </c>
      <c r="F386" t="s">
        <v>61</v>
      </c>
      <c r="G386" s="8" t="s">
        <v>26</v>
      </c>
      <c r="I386" s="8" t="s">
        <v>22</v>
      </c>
      <c r="J386" t="s">
        <v>24</v>
      </c>
      <c r="K386" s="8" t="s">
        <v>25</v>
      </c>
      <c r="L386" t="s">
        <v>26</v>
      </c>
      <c r="O386">
        <v>0</v>
      </c>
      <c r="P386">
        <v>1</v>
      </c>
      <c r="Q386">
        <v>1</v>
      </c>
      <c r="R386">
        <v>0</v>
      </c>
      <c r="S386">
        <v>0</v>
      </c>
      <c r="T386">
        <v>0</v>
      </c>
      <c r="U386">
        <v>1</v>
      </c>
      <c r="V386">
        <v>0</v>
      </c>
      <c r="W386" s="8">
        <v>1</v>
      </c>
      <c r="X386" s="8">
        <v>1</v>
      </c>
      <c r="Y386" s="8">
        <v>0</v>
      </c>
      <c r="Z386" s="8" t="s">
        <v>212</v>
      </c>
      <c r="AA386" s="8" t="s">
        <v>215</v>
      </c>
      <c r="AB386" t="s">
        <v>21</v>
      </c>
      <c r="AD386" t="s">
        <v>406</v>
      </c>
    </row>
    <row r="387" spans="1:30">
      <c r="A387" s="8">
        <v>2011</v>
      </c>
      <c r="B387" s="8">
        <v>101</v>
      </c>
      <c r="D387" s="8" t="s">
        <v>60</v>
      </c>
      <c r="E387" s="12" t="s">
        <v>247</v>
      </c>
      <c r="F387" t="s">
        <v>61</v>
      </c>
      <c r="G387" s="8" t="s">
        <v>22</v>
      </c>
      <c r="H387" t="s">
        <v>24</v>
      </c>
      <c r="I387" s="8" t="s">
        <v>22</v>
      </c>
      <c r="J387" t="s">
        <v>24</v>
      </c>
      <c r="K387" s="8" t="s">
        <v>25</v>
      </c>
      <c r="L387" t="s">
        <v>26</v>
      </c>
      <c r="O387">
        <v>0</v>
      </c>
      <c r="P387">
        <v>1</v>
      </c>
      <c r="Q387">
        <v>1</v>
      </c>
      <c r="R387">
        <v>0</v>
      </c>
      <c r="S387">
        <v>0</v>
      </c>
      <c r="T387">
        <v>0</v>
      </c>
      <c r="U387">
        <v>1</v>
      </c>
      <c r="V387">
        <v>0</v>
      </c>
      <c r="W387" s="8">
        <v>1</v>
      </c>
      <c r="X387" s="8">
        <v>1</v>
      </c>
      <c r="Y387" s="8">
        <v>0</v>
      </c>
      <c r="Z387" s="8" t="s">
        <v>212</v>
      </c>
      <c r="AA387" s="8" t="s">
        <v>215</v>
      </c>
      <c r="AB387" t="s">
        <v>21</v>
      </c>
      <c r="AD387" t="s">
        <v>406</v>
      </c>
    </row>
    <row r="388" spans="1:30">
      <c r="A388" s="8">
        <v>2011</v>
      </c>
      <c r="B388" s="8">
        <v>102</v>
      </c>
      <c r="D388" s="8" t="s">
        <v>60</v>
      </c>
      <c r="E388" t="s">
        <v>253</v>
      </c>
      <c r="F388" t="s">
        <v>61</v>
      </c>
      <c r="G388" s="8" t="s">
        <v>22</v>
      </c>
      <c r="H388" t="s">
        <v>24</v>
      </c>
      <c r="I388" s="8" t="s">
        <v>22</v>
      </c>
      <c r="J388" t="s">
        <v>24</v>
      </c>
      <c r="K388" s="8" t="s">
        <v>65</v>
      </c>
      <c r="L388" t="s">
        <v>22</v>
      </c>
      <c r="O388">
        <v>0</v>
      </c>
      <c r="P388">
        <v>1</v>
      </c>
      <c r="Q388">
        <v>1</v>
      </c>
      <c r="R388">
        <v>0</v>
      </c>
      <c r="S388">
        <v>0</v>
      </c>
      <c r="T388">
        <v>0</v>
      </c>
      <c r="U388">
        <v>0</v>
      </c>
      <c r="V388">
        <v>0</v>
      </c>
      <c r="W388" s="8">
        <v>0</v>
      </c>
      <c r="X388">
        <v>0</v>
      </c>
      <c r="Y388">
        <v>0</v>
      </c>
      <c r="Z388" s="8"/>
      <c r="AA388" s="8" t="s">
        <v>216</v>
      </c>
      <c r="AB388" t="s">
        <v>21</v>
      </c>
    </row>
    <row r="389" spans="1:30">
      <c r="A389" s="8">
        <v>2011</v>
      </c>
      <c r="B389" s="8">
        <v>103</v>
      </c>
      <c r="D389" s="8" t="s">
        <v>60</v>
      </c>
      <c r="F389" t="s">
        <v>61</v>
      </c>
      <c r="G389" s="8" t="s">
        <v>26</v>
      </c>
      <c r="I389" s="8"/>
      <c r="K389" t="s">
        <v>25</v>
      </c>
      <c r="L389" t="s">
        <v>26</v>
      </c>
      <c r="O389">
        <v>0</v>
      </c>
      <c r="P389">
        <v>1</v>
      </c>
      <c r="Q389">
        <v>0</v>
      </c>
      <c r="R389">
        <v>0</v>
      </c>
      <c r="S389">
        <v>0</v>
      </c>
      <c r="T389">
        <v>0</v>
      </c>
      <c r="U389">
        <v>0</v>
      </c>
      <c r="V389">
        <v>0</v>
      </c>
      <c r="W389" s="8">
        <v>0</v>
      </c>
      <c r="X389">
        <v>0</v>
      </c>
      <c r="Y389">
        <v>0</v>
      </c>
      <c r="Z389" s="8"/>
      <c r="AA389" s="8" t="s">
        <v>217</v>
      </c>
      <c r="AB389" t="s">
        <v>21</v>
      </c>
    </row>
    <row r="390" spans="1:30">
      <c r="A390" s="8">
        <v>2011</v>
      </c>
      <c r="B390" s="8">
        <v>104</v>
      </c>
      <c r="D390" s="8" t="s">
        <v>60</v>
      </c>
      <c r="F390" t="s">
        <v>61</v>
      </c>
      <c r="G390" s="8" t="s">
        <v>26</v>
      </c>
      <c r="I390" s="8"/>
      <c r="K390" t="s">
        <v>25</v>
      </c>
      <c r="L390" t="s">
        <v>26</v>
      </c>
      <c r="O390">
        <v>0</v>
      </c>
      <c r="P390">
        <v>1</v>
      </c>
      <c r="Q390">
        <v>0</v>
      </c>
      <c r="R390">
        <v>0</v>
      </c>
      <c r="S390">
        <v>0</v>
      </c>
      <c r="T390">
        <v>0</v>
      </c>
      <c r="U390">
        <v>0</v>
      </c>
      <c r="V390">
        <v>0</v>
      </c>
      <c r="W390" s="8">
        <v>0</v>
      </c>
      <c r="X390">
        <v>0</v>
      </c>
      <c r="Y390">
        <v>0</v>
      </c>
      <c r="Z390" s="8"/>
      <c r="AA390" s="8" t="s">
        <v>218</v>
      </c>
      <c r="AB390" t="s">
        <v>21</v>
      </c>
    </row>
    <row r="391" spans="1:30">
      <c r="A391" s="8">
        <v>2011</v>
      </c>
      <c r="B391" s="8">
        <v>105</v>
      </c>
      <c r="D391" s="8" t="s">
        <v>60</v>
      </c>
      <c r="E391" t="s">
        <v>28</v>
      </c>
      <c r="F391" t="s">
        <v>61</v>
      </c>
      <c r="G391" s="8" t="s">
        <v>26</v>
      </c>
      <c r="I391" s="8" t="s">
        <v>22</v>
      </c>
      <c r="J391" t="s">
        <v>24</v>
      </c>
      <c r="K391" t="s">
        <v>25</v>
      </c>
      <c r="L391" t="s">
        <v>26</v>
      </c>
      <c r="O391">
        <v>0</v>
      </c>
      <c r="P391">
        <v>1</v>
      </c>
      <c r="Q391">
        <v>0</v>
      </c>
      <c r="R391">
        <v>0</v>
      </c>
      <c r="S391">
        <v>0</v>
      </c>
      <c r="T391">
        <v>0</v>
      </c>
      <c r="U391">
        <v>1</v>
      </c>
      <c r="V391">
        <v>0</v>
      </c>
      <c r="W391" s="8">
        <v>1</v>
      </c>
      <c r="X391">
        <v>1</v>
      </c>
      <c r="Y391">
        <v>0</v>
      </c>
      <c r="Z391" s="8" t="s">
        <v>213</v>
      </c>
      <c r="AA391" s="8" t="s">
        <v>219</v>
      </c>
      <c r="AB391" t="s">
        <v>21</v>
      </c>
      <c r="AD391" t="s">
        <v>407</v>
      </c>
    </row>
    <row r="392" spans="1:30">
      <c r="A392" s="8">
        <v>2011</v>
      </c>
      <c r="B392" s="8">
        <v>106</v>
      </c>
      <c r="D392" s="8" t="s">
        <v>60</v>
      </c>
      <c r="F392" t="s">
        <v>61</v>
      </c>
      <c r="G392" s="8" t="s">
        <v>26</v>
      </c>
      <c r="I392" s="8" t="s">
        <v>22</v>
      </c>
      <c r="J392" t="s">
        <v>24</v>
      </c>
      <c r="K392" t="s">
        <v>25</v>
      </c>
      <c r="L392" t="s">
        <v>26</v>
      </c>
      <c r="O392">
        <v>0</v>
      </c>
      <c r="P392">
        <v>1</v>
      </c>
      <c r="Q392">
        <v>0</v>
      </c>
      <c r="R392">
        <v>0</v>
      </c>
      <c r="S392">
        <v>0</v>
      </c>
      <c r="T392">
        <v>0</v>
      </c>
      <c r="U392">
        <v>1</v>
      </c>
      <c r="V392">
        <v>0</v>
      </c>
      <c r="W392" s="8">
        <v>1</v>
      </c>
      <c r="X392">
        <v>1</v>
      </c>
      <c r="Y392">
        <v>0</v>
      </c>
      <c r="Z392" s="8" t="s">
        <v>409</v>
      </c>
      <c r="AA392" s="8" t="s">
        <v>220</v>
      </c>
      <c r="AB392" t="s">
        <v>21</v>
      </c>
      <c r="AD392" t="s">
        <v>408</v>
      </c>
    </row>
    <row r="393" spans="1:30">
      <c r="A393" s="8">
        <v>2011</v>
      </c>
      <c r="B393" s="8">
        <v>107</v>
      </c>
      <c r="D393" s="8" t="s">
        <v>18</v>
      </c>
      <c r="F393" t="s">
        <v>19</v>
      </c>
      <c r="G393" s="8" t="s">
        <v>210</v>
      </c>
      <c r="I393" s="8" t="s">
        <v>152</v>
      </c>
      <c r="J393" t="s">
        <v>184</v>
      </c>
      <c r="K393" s="8" t="s">
        <v>201</v>
      </c>
      <c r="L393" s="8" t="s">
        <v>210</v>
      </c>
      <c r="M393" s="8"/>
      <c r="N393" s="8"/>
      <c r="O393">
        <v>0</v>
      </c>
      <c r="P393">
        <v>1</v>
      </c>
      <c r="Q393">
        <v>0</v>
      </c>
      <c r="R393">
        <v>0</v>
      </c>
      <c r="S393">
        <v>0</v>
      </c>
      <c r="T393">
        <v>0</v>
      </c>
      <c r="U393">
        <v>0</v>
      </c>
      <c r="V393">
        <v>0</v>
      </c>
      <c r="W393" s="8">
        <v>1</v>
      </c>
      <c r="X393">
        <v>1</v>
      </c>
      <c r="Y393">
        <v>0</v>
      </c>
      <c r="Z393" s="8" t="s">
        <v>168</v>
      </c>
      <c r="AA393" s="8" t="s">
        <v>221</v>
      </c>
      <c r="AB393" t="s">
        <v>21</v>
      </c>
    </row>
    <row r="394" spans="1:30">
      <c r="A394">
        <v>2012</v>
      </c>
      <c r="B394" s="8">
        <v>108</v>
      </c>
      <c r="D394" t="s">
        <v>18</v>
      </c>
      <c r="F394" t="s">
        <v>19</v>
      </c>
      <c r="G394" t="s">
        <v>35</v>
      </c>
      <c r="K394" t="s">
        <v>25</v>
      </c>
      <c r="L394" t="s">
        <v>35</v>
      </c>
      <c r="O394">
        <v>0</v>
      </c>
      <c r="P394">
        <v>1</v>
      </c>
      <c r="Q394">
        <v>0</v>
      </c>
      <c r="R394">
        <v>0</v>
      </c>
      <c r="S394">
        <v>0</v>
      </c>
      <c r="T394">
        <v>0</v>
      </c>
      <c r="U394">
        <v>0</v>
      </c>
      <c r="V394">
        <v>0</v>
      </c>
      <c r="W394">
        <v>0</v>
      </c>
      <c r="X394">
        <v>0</v>
      </c>
      <c r="Y394">
        <v>0</v>
      </c>
      <c r="AA394" t="s">
        <v>36</v>
      </c>
      <c r="AB394" t="s">
        <v>21</v>
      </c>
    </row>
    <row r="395" spans="1:30">
      <c r="A395">
        <v>2012</v>
      </c>
      <c r="B395" s="8">
        <v>109</v>
      </c>
      <c r="D395" t="s">
        <v>18</v>
      </c>
      <c r="F395" t="s">
        <v>19</v>
      </c>
      <c r="G395" t="s">
        <v>26</v>
      </c>
      <c r="K395" t="s">
        <v>41</v>
      </c>
      <c r="L395" t="s">
        <v>26</v>
      </c>
      <c r="O395">
        <v>0</v>
      </c>
      <c r="P395">
        <v>1</v>
      </c>
      <c r="Q395">
        <v>0</v>
      </c>
      <c r="R395">
        <v>0</v>
      </c>
      <c r="S395">
        <v>0</v>
      </c>
      <c r="T395">
        <v>0</v>
      </c>
      <c r="U395">
        <v>1</v>
      </c>
      <c r="V395">
        <v>0</v>
      </c>
      <c r="W395">
        <v>1</v>
      </c>
      <c r="X395">
        <v>1</v>
      </c>
      <c r="Y395">
        <v>0</v>
      </c>
      <c r="Z395" t="s">
        <v>42</v>
      </c>
      <c r="AA395" t="s">
        <v>38</v>
      </c>
      <c r="AB395" t="s">
        <v>21</v>
      </c>
    </row>
    <row r="396" spans="1:30">
      <c r="A396">
        <v>2012</v>
      </c>
      <c r="B396" s="8">
        <v>109</v>
      </c>
      <c r="D396" t="s">
        <v>18</v>
      </c>
      <c r="F396" t="s">
        <v>19</v>
      </c>
      <c r="G396" t="s">
        <v>37</v>
      </c>
      <c r="K396" t="s">
        <v>41</v>
      </c>
      <c r="L396" t="s">
        <v>26</v>
      </c>
      <c r="O396">
        <v>0</v>
      </c>
      <c r="P396">
        <v>0</v>
      </c>
      <c r="Q396">
        <v>0</v>
      </c>
      <c r="R396">
        <v>0</v>
      </c>
      <c r="S396">
        <v>0</v>
      </c>
      <c r="T396">
        <v>0</v>
      </c>
      <c r="U396">
        <v>0</v>
      </c>
      <c r="V396">
        <v>1</v>
      </c>
      <c r="W396">
        <v>1</v>
      </c>
      <c r="X396">
        <v>1</v>
      </c>
      <c r="Y396">
        <v>0</v>
      </c>
      <c r="Z396" t="s">
        <v>42</v>
      </c>
      <c r="AA396" t="s">
        <v>38</v>
      </c>
      <c r="AB396" t="s">
        <v>21</v>
      </c>
      <c r="AC396" t="s">
        <v>410</v>
      </c>
      <c r="AD396" t="s">
        <v>411</v>
      </c>
    </row>
    <row r="397" spans="1:30">
      <c r="A397">
        <v>2012</v>
      </c>
      <c r="B397" s="8">
        <v>110</v>
      </c>
      <c r="D397" t="s">
        <v>18</v>
      </c>
      <c r="F397" t="s">
        <v>19</v>
      </c>
      <c r="G397" t="s">
        <v>26</v>
      </c>
      <c r="I397" t="s">
        <v>22</v>
      </c>
      <c r="J397" t="s">
        <v>24</v>
      </c>
      <c r="K397" t="s">
        <v>41</v>
      </c>
      <c r="L397" t="s">
        <v>26</v>
      </c>
      <c r="O397">
        <v>0</v>
      </c>
      <c r="P397">
        <v>1</v>
      </c>
      <c r="Q397">
        <v>0</v>
      </c>
      <c r="R397">
        <v>0</v>
      </c>
      <c r="S397">
        <v>0</v>
      </c>
      <c r="T397">
        <v>0</v>
      </c>
      <c r="U397">
        <v>0</v>
      </c>
      <c r="V397">
        <v>0</v>
      </c>
      <c r="W397">
        <v>0</v>
      </c>
      <c r="X397">
        <v>0</v>
      </c>
      <c r="Y397">
        <v>0</v>
      </c>
      <c r="AA397" t="s">
        <v>43</v>
      </c>
      <c r="AB397" t="s">
        <v>21</v>
      </c>
    </row>
    <row r="398" spans="1:30">
      <c r="A398">
        <v>2012</v>
      </c>
      <c r="B398" s="8">
        <v>110</v>
      </c>
      <c r="D398" t="s">
        <v>18</v>
      </c>
      <c r="F398" t="s">
        <v>19</v>
      </c>
      <c r="G398" t="s">
        <v>37</v>
      </c>
      <c r="I398" t="s">
        <v>22</v>
      </c>
      <c r="J398" t="s">
        <v>24</v>
      </c>
      <c r="K398" t="s">
        <v>41</v>
      </c>
      <c r="L398" t="s">
        <v>26</v>
      </c>
      <c r="O398">
        <v>0</v>
      </c>
      <c r="P398">
        <v>1</v>
      </c>
      <c r="Q398">
        <v>0</v>
      </c>
      <c r="R398">
        <v>0</v>
      </c>
      <c r="S398">
        <v>0</v>
      </c>
      <c r="T398">
        <v>0</v>
      </c>
      <c r="U398">
        <v>0</v>
      </c>
      <c r="V398">
        <v>0</v>
      </c>
      <c r="W398">
        <v>0</v>
      </c>
      <c r="X398">
        <v>0</v>
      </c>
      <c r="Y398">
        <v>0</v>
      </c>
      <c r="AA398" t="s">
        <v>43</v>
      </c>
      <c r="AB398" t="s">
        <v>21</v>
      </c>
    </row>
    <row r="399" spans="1:30">
      <c r="A399">
        <v>2012</v>
      </c>
      <c r="B399" s="8">
        <v>111</v>
      </c>
      <c r="D399" t="s">
        <v>18</v>
      </c>
      <c r="F399" t="s">
        <v>19</v>
      </c>
      <c r="G399" t="s">
        <v>26</v>
      </c>
      <c r="I399" t="s">
        <v>22</v>
      </c>
      <c r="J399" t="s">
        <v>24</v>
      </c>
      <c r="K399" t="s">
        <v>25</v>
      </c>
      <c r="L399" t="s">
        <v>26</v>
      </c>
      <c r="O399">
        <v>0</v>
      </c>
      <c r="P399">
        <v>1</v>
      </c>
      <c r="Q399">
        <v>0</v>
      </c>
      <c r="R399">
        <v>0</v>
      </c>
      <c r="S399">
        <v>0</v>
      </c>
      <c r="T399">
        <v>0</v>
      </c>
      <c r="U399">
        <v>0</v>
      </c>
      <c r="V399">
        <v>0</v>
      </c>
      <c r="W399">
        <v>1</v>
      </c>
      <c r="X399">
        <v>1</v>
      </c>
      <c r="Y399">
        <v>0</v>
      </c>
      <c r="Z399" t="s">
        <v>44</v>
      </c>
      <c r="AA399" t="s">
        <v>46</v>
      </c>
      <c r="AB399" t="s">
        <v>21</v>
      </c>
    </row>
    <row r="400" spans="1:30">
      <c r="A400">
        <v>2012</v>
      </c>
      <c r="B400" s="8">
        <v>112</v>
      </c>
      <c r="D400" t="s">
        <v>18</v>
      </c>
      <c r="F400" t="s">
        <v>19</v>
      </c>
      <c r="G400" t="s">
        <v>26</v>
      </c>
      <c r="I400" t="s">
        <v>22</v>
      </c>
      <c r="J400" t="s">
        <v>24</v>
      </c>
      <c r="K400" t="s">
        <v>25</v>
      </c>
      <c r="L400" t="s">
        <v>26</v>
      </c>
      <c r="O400">
        <v>0</v>
      </c>
      <c r="P400">
        <v>1</v>
      </c>
      <c r="Q400">
        <v>0</v>
      </c>
      <c r="R400">
        <v>0</v>
      </c>
      <c r="S400">
        <v>0</v>
      </c>
      <c r="T400">
        <v>0</v>
      </c>
      <c r="U400">
        <v>0</v>
      </c>
      <c r="V400">
        <v>0</v>
      </c>
      <c r="W400">
        <v>0</v>
      </c>
      <c r="X400">
        <v>0</v>
      </c>
      <c r="Y400">
        <v>0</v>
      </c>
      <c r="AA400" t="s">
        <v>47</v>
      </c>
      <c r="AB400" t="s">
        <v>21</v>
      </c>
    </row>
    <row r="401" spans="1:30">
      <c r="A401">
        <v>2012</v>
      </c>
      <c r="B401" s="8">
        <v>113</v>
      </c>
      <c r="D401" t="s">
        <v>18</v>
      </c>
      <c r="F401" t="s">
        <v>19</v>
      </c>
      <c r="G401" t="s">
        <v>26</v>
      </c>
      <c r="I401" t="s">
        <v>22</v>
      </c>
      <c r="J401" t="s">
        <v>24</v>
      </c>
      <c r="K401" t="s">
        <v>25</v>
      </c>
      <c r="L401" t="s">
        <v>26</v>
      </c>
      <c r="O401">
        <v>0</v>
      </c>
      <c r="P401">
        <v>1</v>
      </c>
      <c r="Q401">
        <v>0</v>
      </c>
      <c r="R401">
        <v>0</v>
      </c>
      <c r="S401">
        <v>0</v>
      </c>
      <c r="T401">
        <v>0</v>
      </c>
      <c r="U401">
        <v>0</v>
      </c>
      <c r="V401">
        <v>0</v>
      </c>
      <c r="W401">
        <v>0</v>
      </c>
      <c r="X401">
        <v>0</v>
      </c>
      <c r="Y401">
        <v>0</v>
      </c>
      <c r="AA401" t="s">
        <v>48</v>
      </c>
      <c r="AB401" t="s">
        <v>21</v>
      </c>
    </row>
    <row r="402" spans="1:30">
      <c r="A402">
        <v>2012</v>
      </c>
      <c r="B402" s="8">
        <v>114</v>
      </c>
      <c r="D402" t="s">
        <v>18</v>
      </c>
      <c r="F402" t="s">
        <v>19</v>
      </c>
      <c r="G402" t="s">
        <v>26</v>
      </c>
      <c r="I402" t="s">
        <v>22</v>
      </c>
      <c r="J402" t="s">
        <v>24</v>
      </c>
      <c r="K402" t="s">
        <v>25</v>
      </c>
      <c r="L402" t="s">
        <v>26</v>
      </c>
      <c r="O402">
        <v>0</v>
      </c>
      <c r="P402">
        <v>1</v>
      </c>
      <c r="Q402">
        <v>0</v>
      </c>
      <c r="R402">
        <v>0</v>
      </c>
      <c r="S402">
        <v>0</v>
      </c>
      <c r="T402">
        <v>0</v>
      </c>
      <c r="U402">
        <v>0</v>
      </c>
      <c r="V402">
        <v>0</v>
      </c>
      <c r="W402">
        <v>0</v>
      </c>
      <c r="X402">
        <v>0</v>
      </c>
      <c r="Y402">
        <v>0</v>
      </c>
      <c r="AA402" t="s">
        <v>49</v>
      </c>
      <c r="AB402" t="s">
        <v>21</v>
      </c>
    </row>
    <row r="403" spans="1:30">
      <c r="A403">
        <v>2012</v>
      </c>
      <c r="B403" s="8">
        <v>115</v>
      </c>
      <c r="D403" t="s">
        <v>18</v>
      </c>
      <c r="F403" t="s">
        <v>19</v>
      </c>
      <c r="G403" t="s">
        <v>26</v>
      </c>
      <c r="I403" t="s">
        <v>22</v>
      </c>
      <c r="J403" t="s">
        <v>24</v>
      </c>
      <c r="K403" t="s">
        <v>25</v>
      </c>
      <c r="L403" t="s">
        <v>26</v>
      </c>
      <c r="O403">
        <v>0</v>
      </c>
      <c r="P403">
        <v>1</v>
      </c>
      <c r="Q403">
        <v>0</v>
      </c>
      <c r="R403">
        <v>1</v>
      </c>
      <c r="S403">
        <v>0</v>
      </c>
      <c r="T403">
        <v>0</v>
      </c>
      <c r="U403">
        <v>0</v>
      </c>
      <c r="V403">
        <v>0</v>
      </c>
      <c r="W403">
        <v>0</v>
      </c>
      <c r="X403">
        <v>0</v>
      </c>
      <c r="Y403">
        <v>0</v>
      </c>
      <c r="AA403" t="s">
        <v>50</v>
      </c>
      <c r="AB403" t="s">
        <v>21</v>
      </c>
    </row>
    <row r="404" spans="1:30">
      <c r="A404">
        <v>2012</v>
      </c>
      <c r="B404" s="8">
        <v>116</v>
      </c>
      <c r="D404" t="s">
        <v>18</v>
      </c>
      <c r="F404" t="s">
        <v>19</v>
      </c>
      <c r="G404" t="s">
        <v>26</v>
      </c>
      <c r="I404" t="s">
        <v>22</v>
      </c>
      <c r="J404" t="s">
        <v>24</v>
      </c>
      <c r="K404" t="s">
        <v>25</v>
      </c>
      <c r="L404" t="s">
        <v>26</v>
      </c>
      <c r="O404">
        <v>0</v>
      </c>
      <c r="P404">
        <v>1</v>
      </c>
      <c r="Q404">
        <v>0</v>
      </c>
      <c r="R404">
        <v>1</v>
      </c>
      <c r="S404">
        <v>0</v>
      </c>
      <c r="T404">
        <v>0</v>
      </c>
      <c r="U404">
        <v>1</v>
      </c>
      <c r="V404">
        <v>0</v>
      </c>
      <c r="W404">
        <v>1</v>
      </c>
      <c r="X404">
        <v>1</v>
      </c>
      <c r="Y404">
        <v>0</v>
      </c>
      <c r="Z404" t="s">
        <v>45</v>
      </c>
      <c r="AA404" t="s">
        <v>51</v>
      </c>
      <c r="AB404" t="s">
        <v>21</v>
      </c>
      <c r="AD404" t="s">
        <v>412</v>
      </c>
    </row>
    <row r="405" spans="1:30">
      <c r="A405">
        <v>2012</v>
      </c>
      <c r="B405" s="8">
        <v>116</v>
      </c>
      <c r="D405" t="s">
        <v>18</v>
      </c>
      <c r="F405" t="s">
        <v>19</v>
      </c>
      <c r="G405" t="s">
        <v>22</v>
      </c>
      <c r="H405" t="s">
        <v>24</v>
      </c>
      <c r="I405" t="s">
        <v>22</v>
      </c>
      <c r="J405" t="s">
        <v>24</v>
      </c>
      <c r="K405" t="s">
        <v>25</v>
      </c>
      <c r="L405" t="s">
        <v>26</v>
      </c>
      <c r="O405">
        <v>0</v>
      </c>
      <c r="P405">
        <v>0</v>
      </c>
      <c r="Q405">
        <v>1</v>
      </c>
      <c r="R405">
        <v>0</v>
      </c>
      <c r="S405">
        <v>0</v>
      </c>
      <c r="T405">
        <v>0</v>
      </c>
      <c r="U405">
        <v>1</v>
      </c>
      <c r="V405">
        <v>0</v>
      </c>
      <c r="W405">
        <v>1</v>
      </c>
      <c r="X405">
        <v>1</v>
      </c>
      <c r="Y405">
        <v>0</v>
      </c>
      <c r="Z405" t="s">
        <v>45</v>
      </c>
      <c r="AA405" t="s">
        <v>413</v>
      </c>
      <c r="AB405" t="s">
        <v>412</v>
      </c>
    </row>
    <row r="406" spans="1:30">
      <c r="A406">
        <v>2012</v>
      </c>
      <c r="B406" s="8">
        <v>117</v>
      </c>
      <c r="D406" t="s">
        <v>18</v>
      </c>
      <c r="F406" t="s">
        <v>19</v>
      </c>
      <c r="G406" t="s">
        <v>26</v>
      </c>
      <c r="I406" t="s">
        <v>22</v>
      </c>
      <c r="J406" t="s">
        <v>24</v>
      </c>
      <c r="K406" t="s">
        <v>25</v>
      </c>
      <c r="L406" t="s">
        <v>26</v>
      </c>
      <c r="O406">
        <v>0</v>
      </c>
      <c r="P406">
        <v>1</v>
      </c>
      <c r="Q406">
        <v>0</v>
      </c>
      <c r="R406">
        <v>1</v>
      </c>
      <c r="S406">
        <v>0</v>
      </c>
      <c r="T406">
        <v>0</v>
      </c>
      <c r="U406">
        <v>1</v>
      </c>
      <c r="V406">
        <v>0</v>
      </c>
      <c r="W406">
        <v>1</v>
      </c>
      <c r="X406">
        <v>1</v>
      </c>
      <c r="Y406">
        <v>0</v>
      </c>
      <c r="Z406" t="s">
        <v>415</v>
      </c>
      <c r="AA406" t="s">
        <v>51</v>
      </c>
      <c r="AB406" t="s">
        <v>414</v>
      </c>
    </row>
    <row r="407" spans="1:30">
      <c r="A407">
        <v>2012</v>
      </c>
      <c r="B407" s="8">
        <v>118</v>
      </c>
      <c r="D407" t="s">
        <v>18</v>
      </c>
      <c r="F407" t="s">
        <v>19</v>
      </c>
      <c r="G407" t="s">
        <v>37</v>
      </c>
      <c r="I407" t="s">
        <v>18</v>
      </c>
      <c r="J407" t="s">
        <v>19</v>
      </c>
      <c r="K407" t="s">
        <v>41</v>
      </c>
      <c r="L407" t="s">
        <v>26</v>
      </c>
      <c r="O407">
        <v>0</v>
      </c>
      <c r="P407">
        <v>1</v>
      </c>
      <c r="Q407">
        <v>0</v>
      </c>
      <c r="R407">
        <v>0</v>
      </c>
      <c r="S407">
        <v>0</v>
      </c>
      <c r="T407">
        <v>0</v>
      </c>
      <c r="U407">
        <v>0</v>
      </c>
      <c r="V407">
        <v>1</v>
      </c>
      <c r="W407">
        <v>0</v>
      </c>
      <c r="X407">
        <v>0</v>
      </c>
      <c r="Y407">
        <v>0</v>
      </c>
      <c r="AA407" t="s">
        <v>52</v>
      </c>
      <c r="AB407" t="s">
        <v>21</v>
      </c>
      <c r="AC407" t="s">
        <v>416</v>
      </c>
      <c r="AD407" t="s">
        <v>417</v>
      </c>
    </row>
    <row r="408" spans="1:30">
      <c r="A408">
        <v>2012</v>
      </c>
      <c r="B408" s="8">
        <v>118</v>
      </c>
      <c r="D408" t="s">
        <v>18</v>
      </c>
      <c r="F408" t="s">
        <v>19</v>
      </c>
      <c r="G408" t="s">
        <v>26</v>
      </c>
      <c r="I408" t="s">
        <v>18</v>
      </c>
      <c r="J408" t="s">
        <v>19</v>
      </c>
      <c r="K408" t="s">
        <v>41</v>
      </c>
      <c r="L408" t="s">
        <v>26</v>
      </c>
      <c r="O408">
        <v>0</v>
      </c>
      <c r="P408">
        <v>0</v>
      </c>
      <c r="Q408">
        <v>0</v>
      </c>
      <c r="R408">
        <v>0</v>
      </c>
      <c r="S408">
        <v>0</v>
      </c>
      <c r="T408">
        <v>0</v>
      </c>
      <c r="U408">
        <v>0</v>
      </c>
      <c r="V408">
        <v>1</v>
      </c>
      <c r="W408">
        <v>0</v>
      </c>
      <c r="X408">
        <v>0</v>
      </c>
      <c r="Y408">
        <v>0</v>
      </c>
      <c r="AA408" t="s">
        <v>52</v>
      </c>
      <c r="AB408" t="s">
        <v>21</v>
      </c>
      <c r="AC408" t="s">
        <v>418</v>
      </c>
      <c r="AD408" t="s">
        <v>417</v>
      </c>
    </row>
    <row r="409" spans="1:30">
      <c r="A409">
        <v>2012</v>
      </c>
      <c r="B409" s="8">
        <v>119</v>
      </c>
      <c r="D409" t="s">
        <v>18</v>
      </c>
      <c r="E409" t="s">
        <v>28</v>
      </c>
      <c r="F409" t="s">
        <v>19</v>
      </c>
      <c r="G409" t="s">
        <v>37</v>
      </c>
      <c r="K409" t="s">
        <v>41</v>
      </c>
      <c r="L409" t="s">
        <v>26</v>
      </c>
      <c r="O409">
        <v>0</v>
      </c>
      <c r="P409">
        <v>0</v>
      </c>
      <c r="Q409">
        <v>0</v>
      </c>
      <c r="R409">
        <v>0</v>
      </c>
      <c r="S409">
        <v>0</v>
      </c>
      <c r="T409">
        <v>0</v>
      </c>
      <c r="U409">
        <v>0</v>
      </c>
      <c r="V409">
        <v>1</v>
      </c>
      <c r="W409">
        <v>0</v>
      </c>
      <c r="X409">
        <v>0</v>
      </c>
      <c r="Y409">
        <v>0</v>
      </c>
      <c r="AA409" t="s">
        <v>53</v>
      </c>
      <c r="AB409" t="s">
        <v>21</v>
      </c>
      <c r="AC409" t="s">
        <v>418</v>
      </c>
    </row>
    <row r="410" spans="1:30">
      <c r="A410">
        <v>2012</v>
      </c>
      <c r="B410" s="8">
        <v>119</v>
      </c>
      <c r="D410" t="s">
        <v>18</v>
      </c>
      <c r="F410" t="s">
        <v>19</v>
      </c>
      <c r="G410" t="s">
        <v>26</v>
      </c>
      <c r="K410" t="s">
        <v>41</v>
      </c>
      <c r="L410" t="s">
        <v>26</v>
      </c>
      <c r="O410">
        <v>0</v>
      </c>
      <c r="P410">
        <v>0</v>
      </c>
      <c r="Q410">
        <v>0</v>
      </c>
      <c r="R410">
        <v>0</v>
      </c>
      <c r="S410">
        <v>0</v>
      </c>
      <c r="T410">
        <v>0</v>
      </c>
      <c r="U410">
        <v>0</v>
      </c>
      <c r="V410">
        <v>1</v>
      </c>
      <c r="W410">
        <v>0</v>
      </c>
      <c r="X410">
        <v>0</v>
      </c>
      <c r="Y410">
        <v>0</v>
      </c>
      <c r="AA410" t="s">
        <v>53</v>
      </c>
      <c r="AB410" t="s">
        <v>21</v>
      </c>
      <c r="AC410" t="s">
        <v>418</v>
      </c>
    </row>
    <row r="411" spans="1:30">
      <c r="A411" s="8">
        <v>2012</v>
      </c>
      <c r="B411" s="8">
        <v>120</v>
      </c>
      <c r="D411" s="8" t="s">
        <v>60</v>
      </c>
      <c r="E411" t="s">
        <v>247</v>
      </c>
      <c r="F411" t="s">
        <v>61</v>
      </c>
      <c r="G411" s="8" t="s">
        <v>26</v>
      </c>
      <c r="I411" s="8" t="s">
        <v>22</v>
      </c>
      <c r="J411" t="s">
        <v>24</v>
      </c>
      <c r="K411" s="8" t="s">
        <v>25</v>
      </c>
      <c r="L411" t="s">
        <v>26</v>
      </c>
      <c r="O411">
        <v>0</v>
      </c>
      <c r="P411">
        <v>1</v>
      </c>
      <c r="Q411">
        <v>0</v>
      </c>
      <c r="R411">
        <v>1</v>
      </c>
      <c r="S411">
        <v>0</v>
      </c>
      <c r="T411">
        <v>0</v>
      </c>
      <c r="U411">
        <v>0</v>
      </c>
      <c r="V411">
        <v>0</v>
      </c>
      <c r="W411" s="8">
        <v>0</v>
      </c>
      <c r="X411">
        <v>0</v>
      </c>
      <c r="Y411">
        <v>0</v>
      </c>
      <c r="Z411" s="8"/>
      <c r="AA411" s="8" t="s">
        <v>419</v>
      </c>
      <c r="AB411" t="s">
        <v>21</v>
      </c>
    </row>
    <row r="412" spans="1:30">
      <c r="A412" s="8">
        <v>2012</v>
      </c>
      <c r="B412" s="8">
        <v>120</v>
      </c>
      <c r="D412" s="8" t="s">
        <v>60</v>
      </c>
      <c r="E412" t="s">
        <v>248</v>
      </c>
      <c r="F412" t="s">
        <v>61</v>
      </c>
      <c r="G412" s="8" t="s">
        <v>22</v>
      </c>
      <c r="H412" t="s">
        <v>24</v>
      </c>
      <c r="I412" s="8" t="s">
        <v>22</v>
      </c>
      <c r="J412" t="s">
        <v>24</v>
      </c>
      <c r="K412" s="8" t="s">
        <v>25</v>
      </c>
      <c r="L412" t="s">
        <v>26</v>
      </c>
      <c r="O412">
        <v>0</v>
      </c>
      <c r="P412">
        <v>0</v>
      </c>
      <c r="Q412">
        <v>1</v>
      </c>
      <c r="R412">
        <v>0</v>
      </c>
      <c r="S412">
        <v>0</v>
      </c>
      <c r="T412">
        <v>0</v>
      </c>
      <c r="U412">
        <v>0</v>
      </c>
      <c r="V412">
        <v>0</v>
      </c>
      <c r="W412" s="8">
        <v>0</v>
      </c>
      <c r="X412">
        <v>0</v>
      </c>
      <c r="Y412">
        <v>0</v>
      </c>
      <c r="Z412" s="8"/>
      <c r="AA412" s="8" t="s">
        <v>419</v>
      </c>
      <c r="AB412" t="s">
        <v>21</v>
      </c>
    </row>
    <row r="413" spans="1:30">
      <c r="A413" s="8">
        <v>2012</v>
      </c>
      <c r="B413" s="8">
        <v>121</v>
      </c>
      <c r="D413" s="8" t="s">
        <v>60</v>
      </c>
      <c r="F413" t="s">
        <v>61</v>
      </c>
      <c r="G413" s="8" t="s">
        <v>26</v>
      </c>
      <c r="I413" s="8"/>
      <c r="K413" t="s">
        <v>25</v>
      </c>
      <c r="L413" t="s">
        <v>26</v>
      </c>
      <c r="O413">
        <v>1</v>
      </c>
      <c r="P413">
        <v>0</v>
      </c>
      <c r="Q413">
        <v>1</v>
      </c>
      <c r="R413">
        <v>0</v>
      </c>
      <c r="S413">
        <v>0</v>
      </c>
      <c r="T413">
        <v>1</v>
      </c>
      <c r="U413">
        <v>0</v>
      </c>
      <c r="V413">
        <v>0</v>
      </c>
      <c r="W413" s="8">
        <v>1</v>
      </c>
      <c r="X413">
        <v>1</v>
      </c>
      <c r="Y413">
        <v>0</v>
      </c>
      <c r="Z413" s="8" t="s">
        <v>168</v>
      </c>
      <c r="AA413" s="8" t="s">
        <v>420</v>
      </c>
      <c r="AB413" t="s">
        <v>21</v>
      </c>
      <c r="AD413" t="s">
        <v>421</v>
      </c>
    </row>
    <row r="414" spans="1:30">
      <c r="A414" s="8">
        <v>2012</v>
      </c>
      <c r="B414" s="8">
        <v>122</v>
      </c>
      <c r="D414" s="8" t="s">
        <v>60</v>
      </c>
      <c r="E414" t="s">
        <v>209</v>
      </c>
      <c r="F414" t="s">
        <v>61</v>
      </c>
      <c r="G414" s="8" t="s">
        <v>157</v>
      </c>
      <c r="H414" t="s">
        <v>190</v>
      </c>
      <c r="I414" s="8" t="s">
        <v>157</v>
      </c>
      <c r="J414" t="s">
        <v>190</v>
      </c>
      <c r="K414" s="8" t="s">
        <v>65</v>
      </c>
      <c r="L414" t="s">
        <v>157</v>
      </c>
      <c r="O414">
        <v>0</v>
      </c>
      <c r="P414">
        <v>1</v>
      </c>
      <c r="Q414">
        <v>1</v>
      </c>
      <c r="R414">
        <v>0</v>
      </c>
      <c r="S414">
        <v>1</v>
      </c>
      <c r="T414">
        <v>0</v>
      </c>
      <c r="U414">
        <v>0</v>
      </c>
      <c r="V414">
        <v>0</v>
      </c>
      <c r="W414" s="8">
        <v>0</v>
      </c>
      <c r="X414">
        <v>0</v>
      </c>
      <c r="Y414">
        <v>0</v>
      </c>
      <c r="Z414" s="8"/>
      <c r="AA414" s="8" t="s">
        <v>404</v>
      </c>
      <c r="AB414" t="s">
        <v>405</v>
      </c>
    </row>
    <row r="415" spans="1:30">
      <c r="A415">
        <v>2013</v>
      </c>
      <c r="B415" s="8">
        <v>123</v>
      </c>
      <c r="D415" t="s">
        <v>18</v>
      </c>
      <c r="F415" t="s">
        <v>19</v>
      </c>
      <c r="G415" t="s">
        <v>26</v>
      </c>
      <c r="I415" t="s">
        <v>22</v>
      </c>
      <c r="J415" t="s">
        <v>24</v>
      </c>
      <c r="K415" t="s">
        <v>25</v>
      </c>
      <c r="L415" t="s">
        <v>26</v>
      </c>
      <c r="O415">
        <v>0</v>
      </c>
      <c r="P415">
        <v>1</v>
      </c>
      <c r="Q415">
        <v>1</v>
      </c>
      <c r="R415">
        <v>0</v>
      </c>
      <c r="S415">
        <v>0</v>
      </c>
      <c r="T415">
        <v>0</v>
      </c>
      <c r="U415">
        <v>0</v>
      </c>
      <c r="V415">
        <v>0</v>
      </c>
      <c r="W415">
        <v>0</v>
      </c>
      <c r="X415">
        <v>0</v>
      </c>
      <c r="Y415">
        <v>0</v>
      </c>
      <c r="AA415" t="s">
        <v>54</v>
      </c>
      <c r="AB415" t="s">
        <v>21</v>
      </c>
    </row>
    <row r="416" spans="1:30">
      <c r="A416">
        <v>2013</v>
      </c>
      <c r="B416" s="8">
        <v>124</v>
      </c>
      <c r="D416" t="s">
        <v>18</v>
      </c>
      <c r="F416" t="s">
        <v>19</v>
      </c>
      <c r="G416" t="s">
        <v>26</v>
      </c>
      <c r="I416" t="s">
        <v>22</v>
      </c>
      <c r="J416" t="s">
        <v>24</v>
      </c>
      <c r="K416" t="s">
        <v>25</v>
      </c>
      <c r="L416" t="s">
        <v>26</v>
      </c>
      <c r="O416">
        <v>0</v>
      </c>
      <c r="P416">
        <v>1</v>
      </c>
      <c r="Q416">
        <v>1</v>
      </c>
      <c r="R416">
        <v>0</v>
      </c>
      <c r="S416">
        <v>0</v>
      </c>
      <c r="T416">
        <v>0</v>
      </c>
      <c r="U416">
        <v>0</v>
      </c>
      <c r="V416">
        <v>1</v>
      </c>
      <c r="W416">
        <v>0</v>
      </c>
      <c r="X416">
        <v>0</v>
      </c>
      <c r="Y416">
        <v>0</v>
      </c>
      <c r="AA416" t="s">
        <v>55</v>
      </c>
      <c r="AB416" t="s">
        <v>21</v>
      </c>
      <c r="AC416" t="s">
        <v>422</v>
      </c>
    </row>
    <row r="417" spans="1:32">
      <c r="A417">
        <v>2013</v>
      </c>
      <c r="B417" s="8">
        <v>125</v>
      </c>
      <c r="D417" t="s">
        <v>18</v>
      </c>
      <c r="F417" t="s">
        <v>19</v>
      </c>
      <c r="G417" t="s">
        <v>26</v>
      </c>
      <c r="I417" t="s">
        <v>22</v>
      </c>
      <c r="J417" t="s">
        <v>24</v>
      </c>
      <c r="K417" t="s">
        <v>25</v>
      </c>
      <c r="L417" t="s">
        <v>26</v>
      </c>
      <c r="O417">
        <v>0</v>
      </c>
      <c r="P417">
        <v>1</v>
      </c>
      <c r="Q417">
        <v>1</v>
      </c>
      <c r="R417">
        <v>0</v>
      </c>
      <c r="S417">
        <v>0</v>
      </c>
      <c r="T417">
        <v>0</v>
      </c>
      <c r="U417">
        <v>0</v>
      </c>
      <c r="V417">
        <v>0</v>
      </c>
      <c r="W417">
        <v>0</v>
      </c>
      <c r="X417">
        <v>0</v>
      </c>
      <c r="Y417">
        <v>0</v>
      </c>
      <c r="AA417" t="s">
        <v>56</v>
      </c>
      <c r="AB417" t="s">
        <v>21</v>
      </c>
    </row>
    <row r="418" spans="1:32">
      <c r="A418">
        <v>2013</v>
      </c>
      <c r="B418" s="8">
        <v>126</v>
      </c>
      <c r="D418" t="s">
        <v>18</v>
      </c>
      <c r="F418" t="s">
        <v>19</v>
      </c>
      <c r="G418" t="s">
        <v>26</v>
      </c>
      <c r="I418" t="s">
        <v>18</v>
      </c>
      <c r="J418" t="s">
        <v>19</v>
      </c>
      <c r="K418" t="s">
        <v>25</v>
      </c>
      <c r="L418" t="s">
        <v>26</v>
      </c>
      <c r="O418">
        <v>0</v>
      </c>
      <c r="P418">
        <v>0</v>
      </c>
      <c r="Q418">
        <v>0</v>
      </c>
      <c r="R418">
        <v>0</v>
      </c>
      <c r="S418">
        <v>0</v>
      </c>
      <c r="T418">
        <v>0</v>
      </c>
      <c r="U418">
        <v>0</v>
      </c>
      <c r="V418">
        <v>1</v>
      </c>
      <c r="W418">
        <v>0</v>
      </c>
      <c r="X418">
        <v>0</v>
      </c>
      <c r="Y418">
        <v>0</v>
      </c>
      <c r="AA418" t="s">
        <v>57</v>
      </c>
      <c r="AB418" t="s">
        <v>21</v>
      </c>
      <c r="AC418" t="s">
        <v>423</v>
      </c>
      <c r="AD418" t="s">
        <v>424</v>
      </c>
    </row>
    <row r="419" spans="1:32">
      <c r="A419">
        <v>2013</v>
      </c>
      <c r="B419" s="8">
        <v>127</v>
      </c>
      <c r="D419" t="s">
        <v>18</v>
      </c>
      <c r="F419" t="s">
        <v>19</v>
      </c>
      <c r="G419" t="s">
        <v>26</v>
      </c>
      <c r="I419" t="s">
        <v>18</v>
      </c>
      <c r="J419" t="s">
        <v>19</v>
      </c>
      <c r="K419" t="s">
        <v>25</v>
      </c>
      <c r="L419" t="s">
        <v>26</v>
      </c>
      <c r="O419">
        <v>0</v>
      </c>
      <c r="P419">
        <v>1</v>
      </c>
      <c r="Q419">
        <v>1</v>
      </c>
      <c r="R419">
        <v>0</v>
      </c>
      <c r="S419">
        <v>0</v>
      </c>
      <c r="T419">
        <v>0</v>
      </c>
      <c r="U419">
        <v>0</v>
      </c>
      <c r="V419">
        <v>1</v>
      </c>
      <c r="W419">
        <v>0</v>
      </c>
      <c r="X419">
        <v>0</v>
      </c>
      <c r="Y419">
        <v>0</v>
      </c>
      <c r="AA419" t="s">
        <v>58</v>
      </c>
      <c r="AB419" t="s">
        <v>21</v>
      </c>
      <c r="AC419" t="s">
        <v>425</v>
      </c>
    </row>
    <row r="420" spans="1:32">
      <c r="A420">
        <v>2013</v>
      </c>
      <c r="B420" s="8">
        <v>128</v>
      </c>
      <c r="D420" t="s">
        <v>18</v>
      </c>
      <c r="F420" t="s">
        <v>19</v>
      </c>
      <c r="G420" t="s">
        <v>26</v>
      </c>
      <c r="K420" t="s">
        <v>25</v>
      </c>
      <c r="L420" t="s">
        <v>26</v>
      </c>
      <c r="O420">
        <v>0</v>
      </c>
      <c r="P420">
        <v>1</v>
      </c>
      <c r="Q420">
        <v>1</v>
      </c>
      <c r="R420">
        <v>0</v>
      </c>
      <c r="S420">
        <v>0</v>
      </c>
      <c r="T420">
        <v>0</v>
      </c>
      <c r="U420">
        <v>0</v>
      </c>
      <c r="V420">
        <v>0</v>
      </c>
      <c r="W420">
        <v>0</v>
      </c>
      <c r="X420">
        <v>0</v>
      </c>
      <c r="Y420">
        <v>0</v>
      </c>
      <c r="AA420" t="s">
        <v>59</v>
      </c>
      <c r="AB420" t="s">
        <v>21</v>
      </c>
    </row>
    <row r="421" spans="1:32">
      <c r="A421" s="8">
        <v>2013</v>
      </c>
      <c r="B421" s="8">
        <v>129</v>
      </c>
      <c r="C421" s="8"/>
      <c r="D421" s="8" t="s">
        <v>60</v>
      </c>
      <c r="E421" s="8" t="s">
        <v>209</v>
      </c>
      <c r="F421" t="s">
        <v>61</v>
      </c>
      <c r="G421" s="8" t="s">
        <v>160</v>
      </c>
      <c r="I421" s="8"/>
      <c r="K421" t="s">
        <v>25</v>
      </c>
      <c r="L421" t="s">
        <v>26</v>
      </c>
      <c r="O421">
        <v>0</v>
      </c>
      <c r="P421">
        <v>1</v>
      </c>
      <c r="Q421">
        <v>1</v>
      </c>
      <c r="R421">
        <v>0</v>
      </c>
      <c r="S421">
        <v>0</v>
      </c>
      <c r="T421">
        <v>0</v>
      </c>
      <c r="U421">
        <v>0</v>
      </c>
      <c r="V421">
        <v>0</v>
      </c>
      <c r="W421" s="8">
        <v>1</v>
      </c>
      <c r="X421">
        <v>0</v>
      </c>
      <c r="Y421">
        <v>1</v>
      </c>
      <c r="Z421" s="8" t="s">
        <v>164</v>
      </c>
      <c r="AA421" s="8" t="s">
        <v>426</v>
      </c>
      <c r="AB421" t="s">
        <v>21</v>
      </c>
    </row>
    <row r="422" spans="1:32">
      <c r="A422" s="8">
        <v>2013</v>
      </c>
      <c r="B422" s="8">
        <v>130</v>
      </c>
      <c r="C422" s="8"/>
      <c r="D422" s="8" t="s">
        <v>60</v>
      </c>
      <c r="E422" s="8" t="s">
        <v>209</v>
      </c>
      <c r="F422" t="s">
        <v>61</v>
      </c>
      <c r="G422" s="8" t="s">
        <v>160</v>
      </c>
      <c r="I422" s="8"/>
      <c r="K422" t="s">
        <v>25</v>
      </c>
      <c r="L422" t="s">
        <v>26</v>
      </c>
      <c r="O422">
        <v>0</v>
      </c>
      <c r="P422">
        <v>1</v>
      </c>
      <c r="Q422">
        <v>1</v>
      </c>
      <c r="R422">
        <v>0</v>
      </c>
      <c r="S422">
        <v>0</v>
      </c>
      <c r="T422">
        <v>0</v>
      </c>
      <c r="U422">
        <v>0</v>
      </c>
      <c r="V422">
        <v>0</v>
      </c>
      <c r="W422" s="8">
        <v>1</v>
      </c>
      <c r="X422">
        <v>1</v>
      </c>
      <c r="Y422">
        <v>0</v>
      </c>
      <c r="Z422" s="8" t="s">
        <v>179</v>
      </c>
      <c r="AA422" s="9" t="s">
        <v>427</v>
      </c>
      <c r="AB422" t="s">
        <v>21</v>
      </c>
      <c r="AD422" t="s">
        <v>428</v>
      </c>
      <c r="AF422" t="s">
        <v>429</v>
      </c>
    </row>
    <row r="423" spans="1:32">
      <c r="A423" s="8">
        <v>2013</v>
      </c>
      <c r="B423" s="8">
        <v>131</v>
      </c>
      <c r="C423" s="8"/>
      <c r="D423" s="8" t="s">
        <v>60</v>
      </c>
      <c r="E423" s="8" t="s">
        <v>209</v>
      </c>
      <c r="F423" t="s">
        <v>61</v>
      </c>
      <c r="G423" s="8" t="s">
        <v>160</v>
      </c>
      <c r="I423" s="8" t="s">
        <v>157</v>
      </c>
      <c r="J423" t="s">
        <v>190</v>
      </c>
      <c r="K423" t="s">
        <v>41</v>
      </c>
      <c r="L423" t="s">
        <v>157</v>
      </c>
      <c r="O423">
        <v>0</v>
      </c>
      <c r="P423">
        <v>1</v>
      </c>
      <c r="Q423">
        <v>1</v>
      </c>
      <c r="R423">
        <v>0</v>
      </c>
      <c r="S423">
        <v>0</v>
      </c>
      <c r="T423">
        <v>0</v>
      </c>
      <c r="U423">
        <v>1</v>
      </c>
      <c r="V423">
        <v>0</v>
      </c>
      <c r="W423" s="8">
        <v>1</v>
      </c>
      <c r="X423" s="8">
        <v>1</v>
      </c>
      <c r="Y423" s="8">
        <v>0</v>
      </c>
      <c r="Z423" s="8" t="s">
        <v>180</v>
      </c>
      <c r="AA423" s="8" t="s">
        <v>430</v>
      </c>
      <c r="AB423" t="s">
        <v>21</v>
      </c>
      <c r="AD423" t="s">
        <v>431</v>
      </c>
    </row>
    <row r="424" spans="1:32">
      <c r="A424" s="8">
        <v>2013</v>
      </c>
      <c r="B424" s="8">
        <v>131</v>
      </c>
      <c r="C424" s="8"/>
      <c r="D424" s="8" t="s">
        <v>60</v>
      </c>
      <c r="E424" s="8" t="s">
        <v>209</v>
      </c>
      <c r="F424" t="s">
        <v>61</v>
      </c>
      <c r="G424" s="8" t="s">
        <v>37</v>
      </c>
      <c r="I424" s="8" t="s">
        <v>157</v>
      </c>
      <c r="J424" t="s">
        <v>190</v>
      </c>
      <c r="K424" t="s">
        <v>41</v>
      </c>
      <c r="L424" t="s">
        <v>157</v>
      </c>
      <c r="O424">
        <v>0</v>
      </c>
      <c r="P424">
        <v>1</v>
      </c>
      <c r="Q424">
        <v>0</v>
      </c>
      <c r="R424">
        <v>0</v>
      </c>
      <c r="S424">
        <v>0</v>
      </c>
      <c r="T424">
        <v>0</v>
      </c>
      <c r="U424">
        <v>1</v>
      </c>
      <c r="V424">
        <v>0</v>
      </c>
      <c r="W424" s="8">
        <v>1</v>
      </c>
      <c r="X424" s="8">
        <v>1</v>
      </c>
      <c r="Y424" s="8">
        <v>0</v>
      </c>
      <c r="Z424" s="8" t="s">
        <v>180</v>
      </c>
      <c r="AA424" s="8" t="s">
        <v>430</v>
      </c>
      <c r="AB424" t="s">
        <v>21</v>
      </c>
      <c r="AD424" t="s">
        <v>431</v>
      </c>
    </row>
    <row r="425" spans="1:32">
      <c r="A425" s="8">
        <v>2013</v>
      </c>
      <c r="B425" s="8">
        <v>131</v>
      </c>
      <c r="C425" s="8"/>
      <c r="D425" s="8" t="s">
        <v>60</v>
      </c>
      <c r="E425" s="8" t="s">
        <v>209</v>
      </c>
      <c r="F425" t="s">
        <v>61</v>
      </c>
      <c r="G425" s="8" t="s">
        <v>157</v>
      </c>
      <c r="H425" t="s">
        <v>190</v>
      </c>
      <c r="I425" s="8" t="s">
        <v>157</v>
      </c>
      <c r="J425" t="s">
        <v>190</v>
      </c>
      <c r="K425" t="s">
        <v>41</v>
      </c>
      <c r="L425" t="s">
        <v>157</v>
      </c>
      <c r="O425">
        <v>0</v>
      </c>
      <c r="P425">
        <v>0</v>
      </c>
      <c r="Q425">
        <v>0</v>
      </c>
      <c r="R425">
        <v>0</v>
      </c>
      <c r="S425">
        <v>0</v>
      </c>
      <c r="T425">
        <v>0</v>
      </c>
      <c r="U425">
        <v>1</v>
      </c>
      <c r="V425">
        <v>0</v>
      </c>
      <c r="W425" s="8">
        <v>1</v>
      </c>
      <c r="X425" s="8">
        <v>1</v>
      </c>
      <c r="Y425" s="8">
        <v>0</v>
      </c>
      <c r="Z425" s="8" t="s">
        <v>180</v>
      </c>
      <c r="AA425" s="8" t="s">
        <v>430</v>
      </c>
      <c r="AB425" t="s">
        <v>21</v>
      </c>
      <c r="AD425" t="s">
        <v>431</v>
      </c>
    </row>
    <row r="426" spans="1:32">
      <c r="A426" s="8">
        <v>2013</v>
      </c>
      <c r="B426" s="8">
        <v>132</v>
      </c>
      <c r="D426" s="8" t="s">
        <v>18</v>
      </c>
      <c r="F426" t="s">
        <v>19</v>
      </c>
      <c r="G426" s="8" t="s">
        <v>243</v>
      </c>
      <c r="I426" s="8" t="s">
        <v>18</v>
      </c>
      <c r="J426" t="s">
        <v>19</v>
      </c>
      <c r="K426" s="8" t="s">
        <v>201</v>
      </c>
      <c r="L426" t="s">
        <v>243</v>
      </c>
      <c r="O426">
        <v>0</v>
      </c>
      <c r="P426">
        <v>1</v>
      </c>
      <c r="Q426">
        <v>0</v>
      </c>
      <c r="R426">
        <v>0</v>
      </c>
      <c r="S426">
        <v>0</v>
      </c>
      <c r="T426">
        <v>0</v>
      </c>
      <c r="U426">
        <v>0</v>
      </c>
      <c r="V426">
        <v>0</v>
      </c>
      <c r="W426" s="8">
        <v>0</v>
      </c>
      <c r="X426">
        <v>0</v>
      </c>
      <c r="Y426">
        <v>0</v>
      </c>
      <c r="AA426" s="8" t="s">
        <v>432</v>
      </c>
      <c r="AB426" t="s">
        <v>21</v>
      </c>
    </row>
    <row r="427" spans="1:32">
      <c r="A427" s="8">
        <v>2013</v>
      </c>
      <c r="B427" s="8">
        <v>133</v>
      </c>
      <c r="D427" s="8" t="s">
        <v>18</v>
      </c>
      <c r="F427" t="s">
        <v>19</v>
      </c>
      <c r="G427" s="8" t="s">
        <v>37</v>
      </c>
      <c r="I427" s="8" t="s">
        <v>18</v>
      </c>
      <c r="J427" t="s">
        <v>19</v>
      </c>
      <c r="K427" s="8" t="s">
        <v>201</v>
      </c>
      <c r="L427" t="s">
        <v>243</v>
      </c>
      <c r="O427">
        <v>0</v>
      </c>
      <c r="P427">
        <v>0</v>
      </c>
      <c r="Q427">
        <v>0</v>
      </c>
      <c r="R427">
        <v>0</v>
      </c>
      <c r="S427">
        <v>0</v>
      </c>
      <c r="T427">
        <v>0</v>
      </c>
      <c r="U427">
        <v>0</v>
      </c>
      <c r="V427">
        <v>1</v>
      </c>
      <c r="W427" s="8">
        <v>0</v>
      </c>
      <c r="X427">
        <v>0</v>
      </c>
      <c r="Y427">
        <v>0</v>
      </c>
      <c r="Z427" s="8"/>
      <c r="AA427" s="8" t="s">
        <v>432</v>
      </c>
      <c r="AB427" t="s">
        <v>21</v>
      </c>
      <c r="AC427" t="s">
        <v>433</v>
      </c>
    </row>
    <row r="428" spans="1:32">
      <c r="A428" s="8">
        <v>2013</v>
      </c>
      <c r="B428" s="8">
        <v>134</v>
      </c>
      <c r="D428" s="8" t="s">
        <v>18</v>
      </c>
      <c r="F428" t="s">
        <v>19</v>
      </c>
      <c r="G428" s="8" t="s">
        <v>243</v>
      </c>
      <c r="I428" s="8" t="s">
        <v>18</v>
      </c>
      <c r="J428" t="s">
        <v>19</v>
      </c>
      <c r="K428" s="8" t="s">
        <v>201</v>
      </c>
      <c r="L428" t="s">
        <v>243</v>
      </c>
      <c r="O428">
        <v>0</v>
      </c>
      <c r="P428">
        <v>0</v>
      </c>
      <c r="Q428">
        <v>0</v>
      </c>
      <c r="R428">
        <v>0</v>
      </c>
      <c r="S428">
        <v>0</v>
      </c>
      <c r="T428">
        <v>0</v>
      </c>
      <c r="U428">
        <v>0</v>
      </c>
      <c r="V428">
        <v>1</v>
      </c>
      <c r="W428" s="8">
        <v>0</v>
      </c>
      <c r="X428">
        <v>0</v>
      </c>
      <c r="Y428">
        <v>0</v>
      </c>
      <c r="Z428" s="8"/>
      <c r="AA428" s="8" t="s">
        <v>434</v>
      </c>
      <c r="AB428" t="s">
        <v>21</v>
      </c>
      <c r="AC428" t="s">
        <v>435</v>
      </c>
    </row>
    <row r="429" spans="1:32">
      <c r="A429" s="8">
        <v>2013</v>
      </c>
      <c r="B429" s="8">
        <v>134</v>
      </c>
      <c r="D429" s="8" t="s">
        <v>18</v>
      </c>
      <c r="F429" t="s">
        <v>19</v>
      </c>
      <c r="G429" s="8" t="s">
        <v>37</v>
      </c>
      <c r="I429" s="8" t="s">
        <v>18</v>
      </c>
      <c r="J429" t="s">
        <v>19</v>
      </c>
      <c r="K429" s="8" t="s">
        <v>201</v>
      </c>
      <c r="L429" t="s">
        <v>243</v>
      </c>
      <c r="O429">
        <v>0</v>
      </c>
      <c r="P429">
        <v>0</v>
      </c>
      <c r="Q429">
        <v>0</v>
      </c>
      <c r="R429">
        <v>0</v>
      </c>
      <c r="S429">
        <v>0</v>
      </c>
      <c r="T429">
        <v>0</v>
      </c>
      <c r="U429">
        <v>0</v>
      </c>
      <c r="V429">
        <v>1</v>
      </c>
      <c r="W429" s="8">
        <v>0</v>
      </c>
      <c r="X429">
        <v>0</v>
      </c>
      <c r="Y429">
        <v>0</v>
      </c>
      <c r="Z429" s="8"/>
      <c r="AA429" s="8" t="s">
        <v>434</v>
      </c>
      <c r="AB429" t="s">
        <v>21</v>
      </c>
      <c r="AC429" t="s">
        <v>436</v>
      </c>
    </row>
    <row r="430" spans="1:32">
      <c r="A430" s="8">
        <v>2013</v>
      </c>
      <c r="B430" s="8">
        <v>135</v>
      </c>
      <c r="D430" s="8" t="s">
        <v>18</v>
      </c>
      <c r="F430" t="s">
        <v>19</v>
      </c>
      <c r="G430" t="s">
        <v>438</v>
      </c>
      <c r="I430" s="8" t="s">
        <v>18</v>
      </c>
      <c r="J430" t="s">
        <v>19</v>
      </c>
      <c r="K430" s="8" t="s">
        <v>201</v>
      </c>
      <c r="L430" t="s">
        <v>438</v>
      </c>
      <c r="O430">
        <v>0</v>
      </c>
      <c r="P430">
        <v>0</v>
      </c>
      <c r="Q430">
        <v>0</v>
      </c>
      <c r="R430">
        <v>0</v>
      </c>
      <c r="S430">
        <v>0</v>
      </c>
      <c r="T430">
        <v>0</v>
      </c>
      <c r="U430">
        <v>0</v>
      </c>
      <c r="V430">
        <v>1</v>
      </c>
      <c r="W430" s="8">
        <v>0</v>
      </c>
      <c r="X430">
        <v>0</v>
      </c>
      <c r="Y430">
        <v>0</v>
      </c>
      <c r="Z430" s="8"/>
      <c r="AA430" s="8" t="s">
        <v>437</v>
      </c>
      <c r="AB430" t="s">
        <v>21</v>
      </c>
      <c r="AC430" t="s">
        <v>439</v>
      </c>
    </row>
    <row r="431" spans="1:32">
      <c r="A431" s="8">
        <v>2013</v>
      </c>
      <c r="B431" s="8">
        <v>136</v>
      </c>
      <c r="D431" s="8" t="s">
        <v>18</v>
      </c>
      <c r="F431" t="s">
        <v>19</v>
      </c>
      <c r="G431" s="8" t="s">
        <v>245</v>
      </c>
      <c r="I431" s="8" t="s">
        <v>18</v>
      </c>
      <c r="J431" t="s">
        <v>19</v>
      </c>
      <c r="K431" s="8" t="s">
        <v>201</v>
      </c>
      <c r="L431" s="8" t="s">
        <v>245</v>
      </c>
      <c r="M431" s="8"/>
      <c r="N431" s="8"/>
      <c r="O431">
        <v>0</v>
      </c>
      <c r="P431">
        <v>1</v>
      </c>
      <c r="Q431">
        <v>0</v>
      </c>
      <c r="R431">
        <v>0</v>
      </c>
      <c r="T431">
        <v>0</v>
      </c>
      <c r="U431">
        <v>0</v>
      </c>
      <c r="V431">
        <v>0</v>
      </c>
      <c r="W431" s="8">
        <v>0</v>
      </c>
      <c r="X431">
        <v>0</v>
      </c>
      <c r="Y431">
        <v>0</v>
      </c>
      <c r="Z431" s="8"/>
      <c r="AA431" s="8" t="s">
        <v>1174</v>
      </c>
      <c r="AB431" t="s">
        <v>21</v>
      </c>
    </row>
    <row r="432" spans="1:32">
      <c r="A432" s="8">
        <v>2013</v>
      </c>
      <c r="B432" s="8">
        <v>136</v>
      </c>
      <c r="D432" s="8" t="s">
        <v>18</v>
      </c>
      <c r="F432" t="s">
        <v>19</v>
      </c>
      <c r="G432" s="8" t="s">
        <v>244</v>
      </c>
      <c r="I432" s="8" t="s">
        <v>18</v>
      </c>
      <c r="J432" t="s">
        <v>19</v>
      </c>
      <c r="K432" s="8" t="s">
        <v>201</v>
      </c>
      <c r="L432" s="8" t="s">
        <v>245</v>
      </c>
      <c r="M432" s="8"/>
      <c r="N432" s="8"/>
      <c r="O432">
        <v>0</v>
      </c>
      <c r="P432">
        <v>0</v>
      </c>
      <c r="Q432">
        <v>0</v>
      </c>
      <c r="R432">
        <v>0</v>
      </c>
      <c r="S432">
        <v>0</v>
      </c>
      <c r="T432">
        <v>0</v>
      </c>
      <c r="U432">
        <v>0</v>
      </c>
      <c r="V432">
        <v>1</v>
      </c>
      <c r="W432" s="8">
        <v>0</v>
      </c>
      <c r="X432">
        <v>0</v>
      </c>
      <c r="Y432">
        <v>0</v>
      </c>
      <c r="Z432" s="8"/>
      <c r="AA432" s="8" t="s">
        <v>1174</v>
      </c>
      <c r="AB432" t="s">
        <v>21</v>
      </c>
      <c r="AC432" t="s">
        <v>440</v>
      </c>
    </row>
    <row r="433" spans="1:29">
      <c r="A433" s="8">
        <v>2013</v>
      </c>
      <c r="B433" s="8">
        <v>136</v>
      </c>
      <c r="D433" s="8" t="s">
        <v>18</v>
      </c>
      <c r="F433" t="s">
        <v>19</v>
      </c>
      <c r="G433" s="8" t="s">
        <v>1173</v>
      </c>
      <c r="I433" s="8" t="s">
        <v>18</v>
      </c>
      <c r="J433" t="s">
        <v>19</v>
      </c>
      <c r="K433" s="8" t="s">
        <v>201</v>
      </c>
      <c r="L433" s="8" t="s">
        <v>245</v>
      </c>
      <c r="M433" s="8"/>
      <c r="N433" s="8"/>
      <c r="O433">
        <v>0</v>
      </c>
      <c r="P433">
        <v>0</v>
      </c>
      <c r="Q433">
        <v>0</v>
      </c>
      <c r="R433">
        <v>0</v>
      </c>
      <c r="S433">
        <v>0</v>
      </c>
      <c r="T433">
        <v>0</v>
      </c>
      <c r="U433">
        <v>0</v>
      </c>
      <c r="V433">
        <v>1</v>
      </c>
      <c r="W433" s="8">
        <v>0</v>
      </c>
      <c r="X433">
        <v>0</v>
      </c>
      <c r="Y433">
        <v>0</v>
      </c>
      <c r="Z433" s="8"/>
      <c r="AA433" s="8" t="s">
        <v>1174</v>
      </c>
      <c r="AB433" t="s">
        <v>21</v>
      </c>
      <c r="AC433" t="s">
        <v>441</v>
      </c>
    </row>
    <row r="434" spans="1:29">
      <c r="A434" s="8">
        <v>2013</v>
      </c>
      <c r="B434" s="8">
        <v>136</v>
      </c>
      <c r="D434" s="8" t="s">
        <v>18</v>
      </c>
      <c r="F434" t="s">
        <v>19</v>
      </c>
      <c r="G434" s="8" t="s">
        <v>37</v>
      </c>
      <c r="I434" s="8" t="s">
        <v>18</v>
      </c>
      <c r="J434" t="s">
        <v>19</v>
      </c>
      <c r="K434" s="8" t="s">
        <v>201</v>
      </c>
      <c r="L434" s="8" t="s">
        <v>245</v>
      </c>
      <c r="M434" s="8"/>
      <c r="N434" s="8"/>
      <c r="O434">
        <v>0</v>
      </c>
      <c r="P434">
        <v>0</v>
      </c>
      <c r="Q434">
        <v>0</v>
      </c>
      <c r="R434">
        <v>0</v>
      </c>
      <c r="S434">
        <v>0</v>
      </c>
      <c r="T434">
        <v>0</v>
      </c>
      <c r="U434">
        <v>0</v>
      </c>
      <c r="V434">
        <v>1</v>
      </c>
      <c r="W434" s="8">
        <v>0</v>
      </c>
      <c r="X434">
        <v>0</v>
      </c>
      <c r="Y434">
        <v>0</v>
      </c>
      <c r="Z434" s="8"/>
      <c r="AA434" s="8" t="s">
        <v>1174</v>
      </c>
      <c r="AB434" t="s">
        <v>21</v>
      </c>
      <c r="AC434" t="s">
        <v>442</v>
      </c>
    </row>
    <row r="435" spans="1:29">
      <c r="A435" s="8">
        <v>2013</v>
      </c>
      <c r="B435" s="8">
        <v>137</v>
      </c>
      <c r="D435" s="8" t="s">
        <v>60</v>
      </c>
      <c r="F435" t="s">
        <v>61</v>
      </c>
      <c r="G435" s="8" t="s">
        <v>26</v>
      </c>
      <c r="I435" s="8"/>
      <c r="K435" s="8" t="s">
        <v>25</v>
      </c>
      <c r="L435" t="s">
        <v>26</v>
      </c>
      <c r="O435">
        <v>0</v>
      </c>
      <c r="P435">
        <v>1</v>
      </c>
      <c r="Q435">
        <v>1</v>
      </c>
      <c r="R435">
        <v>0</v>
      </c>
      <c r="S435">
        <v>0</v>
      </c>
      <c r="T435">
        <v>0</v>
      </c>
      <c r="U435">
        <v>0</v>
      </c>
      <c r="V435">
        <v>0</v>
      </c>
      <c r="W435" s="8">
        <v>0</v>
      </c>
      <c r="X435">
        <v>0</v>
      </c>
      <c r="Y435">
        <v>0</v>
      </c>
      <c r="Z435" s="8"/>
      <c r="AA435" s="8" t="s">
        <v>443</v>
      </c>
      <c r="AB435" t="s">
        <v>21</v>
      </c>
    </row>
    <row r="436" spans="1:29">
      <c r="A436" s="8">
        <v>2013</v>
      </c>
      <c r="B436" s="8">
        <v>138</v>
      </c>
      <c r="D436" s="8" t="s">
        <v>18</v>
      </c>
      <c r="F436" t="s">
        <v>19</v>
      </c>
      <c r="G436" s="8" t="s">
        <v>211</v>
      </c>
      <c r="I436" s="8" t="s">
        <v>18</v>
      </c>
      <c r="J436" t="s">
        <v>19</v>
      </c>
      <c r="K436" s="8" t="s">
        <v>201</v>
      </c>
      <c r="L436" s="8" t="s">
        <v>211</v>
      </c>
      <c r="M436" s="8"/>
      <c r="N436" s="8"/>
      <c r="O436">
        <v>0</v>
      </c>
      <c r="P436">
        <v>1</v>
      </c>
      <c r="Q436">
        <v>0</v>
      </c>
      <c r="R436">
        <v>0</v>
      </c>
      <c r="S436">
        <v>0</v>
      </c>
      <c r="T436">
        <v>0</v>
      </c>
      <c r="U436">
        <v>0</v>
      </c>
      <c r="V436">
        <v>0</v>
      </c>
      <c r="W436" s="8">
        <v>0</v>
      </c>
      <c r="X436">
        <v>0</v>
      </c>
      <c r="Y436">
        <v>0</v>
      </c>
      <c r="Z436" s="8"/>
      <c r="AA436" s="8" t="s">
        <v>444</v>
      </c>
      <c r="AB436" t="s">
        <v>21</v>
      </c>
    </row>
    <row r="437" spans="1:29">
      <c r="A437" s="8">
        <v>2013</v>
      </c>
      <c r="B437" s="8">
        <v>139</v>
      </c>
      <c r="D437" s="8" t="s">
        <v>18</v>
      </c>
      <c r="F437" t="s">
        <v>19</v>
      </c>
      <c r="G437" s="8" t="s">
        <v>211</v>
      </c>
      <c r="I437" s="8" t="s">
        <v>18</v>
      </c>
      <c r="J437" t="s">
        <v>19</v>
      </c>
      <c r="K437" s="8" t="s">
        <v>201</v>
      </c>
      <c r="L437" s="8" t="s">
        <v>211</v>
      </c>
      <c r="M437" s="8"/>
      <c r="N437" s="8"/>
      <c r="O437">
        <v>0</v>
      </c>
      <c r="P437">
        <v>1</v>
      </c>
      <c r="Q437">
        <v>0</v>
      </c>
      <c r="R437">
        <v>0</v>
      </c>
      <c r="S437">
        <v>0</v>
      </c>
      <c r="T437">
        <v>0</v>
      </c>
      <c r="U437">
        <v>0</v>
      </c>
      <c r="V437">
        <v>0</v>
      </c>
      <c r="W437" s="8">
        <v>0</v>
      </c>
      <c r="X437">
        <v>0</v>
      </c>
      <c r="Y437">
        <v>0</v>
      </c>
      <c r="Z437" s="8"/>
      <c r="AA437" s="8" t="s">
        <v>445</v>
      </c>
      <c r="AB437" t="s">
        <v>21</v>
      </c>
    </row>
    <row r="438" spans="1:29">
      <c r="A438" s="8">
        <v>2013</v>
      </c>
      <c r="B438" s="8">
        <v>140</v>
      </c>
      <c r="D438" s="8" t="s">
        <v>18</v>
      </c>
      <c r="F438" t="s">
        <v>19</v>
      </c>
      <c r="G438" s="8" t="s">
        <v>211</v>
      </c>
      <c r="I438" s="8" t="s">
        <v>18</v>
      </c>
      <c r="J438" t="s">
        <v>19</v>
      </c>
      <c r="K438" s="8" t="s">
        <v>201</v>
      </c>
      <c r="L438" s="8" t="s">
        <v>211</v>
      </c>
      <c r="M438" s="8"/>
      <c r="N438" s="8"/>
      <c r="O438">
        <v>0</v>
      </c>
      <c r="P438">
        <v>1</v>
      </c>
      <c r="Q438">
        <v>0</v>
      </c>
      <c r="R438">
        <v>0</v>
      </c>
      <c r="S438">
        <v>0</v>
      </c>
      <c r="T438">
        <v>0</v>
      </c>
      <c r="U438">
        <v>0</v>
      </c>
      <c r="V438">
        <v>0</v>
      </c>
      <c r="W438" s="8">
        <v>1</v>
      </c>
      <c r="X438">
        <v>0</v>
      </c>
      <c r="Y438">
        <v>0</v>
      </c>
      <c r="Z438" s="8" t="s">
        <v>447</v>
      </c>
      <c r="AA438" s="8" t="s">
        <v>446</v>
      </c>
      <c r="AB438" t="s">
        <v>21</v>
      </c>
    </row>
    <row r="439" spans="1:29">
      <c r="A439" s="8">
        <v>2013</v>
      </c>
      <c r="B439" s="8">
        <v>141</v>
      </c>
      <c r="D439" s="8" t="s">
        <v>18</v>
      </c>
      <c r="F439" t="s">
        <v>19</v>
      </c>
      <c r="G439" s="8" t="s">
        <v>35</v>
      </c>
      <c r="I439" s="8" t="s">
        <v>60</v>
      </c>
      <c r="J439" t="s">
        <v>61</v>
      </c>
      <c r="K439" s="8" t="s">
        <v>25</v>
      </c>
      <c r="L439" s="8" t="s">
        <v>35</v>
      </c>
      <c r="M439" s="8"/>
      <c r="N439" s="8"/>
      <c r="O439">
        <v>0</v>
      </c>
      <c r="P439">
        <v>1</v>
      </c>
      <c r="Q439">
        <v>1</v>
      </c>
      <c r="R439">
        <v>0</v>
      </c>
      <c r="S439">
        <v>0</v>
      </c>
      <c r="T439">
        <v>0</v>
      </c>
      <c r="U439">
        <v>0</v>
      </c>
      <c r="V439">
        <v>0</v>
      </c>
      <c r="W439" s="8">
        <v>0</v>
      </c>
      <c r="X439">
        <v>0</v>
      </c>
      <c r="Y439">
        <v>0</v>
      </c>
      <c r="Z439" s="8"/>
      <c r="AA439" s="8" t="s">
        <v>448</v>
      </c>
      <c r="AB439" t="s">
        <v>21</v>
      </c>
    </row>
    <row r="440" spans="1:29">
      <c r="A440" s="8">
        <v>2013</v>
      </c>
      <c r="B440" s="8">
        <v>141</v>
      </c>
      <c r="D440" s="8" t="s">
        <v>18</v>
      </c>
      <c r="F440" t="s">
        <v>19</v>
      </c>
      <c r="G440" s="8" t="s">
        <v>37</v>
      </c>
      <c r="I440" s="8" t="s">
        <v>60</v>
      </c>
      <c r="J440" t="s">
        <v>61</v>
      </c>
      <c r="K440" s="8" t="s">
        <v>25</v>
      </c>
      <c r="L440" s="8" t="s">
        <v>35</v>
      </c>
      <c r="M440" s="8"/>
      <c r="N440" s="8"/>
      <c r="O440">
        <v>0</v>
      </c>
      <c r="P440">
        <v>0</v>
      </c>
      <c r="Q440">
        <v>0</v>
      </c>
      <c r="R440">
        <v>0</v>
      </c>
      <c r="S440">
        <v>0</v>
      </c>
      <c r="T440">
        <v>0</v>
      </c>
      <c r="U440">
        <v>0</v>
      </c>
      <c r="V440">
        <v>1</v>
      </c>
      <c r="W440" s="8">
        <v>0</v>
      </c>
      <c r="X440">
        <v>0</v>
      </c>
      <c r="Y440">
        <v>0</v>
      </c>
      <c r="Z440" s="8"/>
      <c r="AA440" s="8" t="s">
        <v>448</v>
      </c>
      <c r="AB440" t="s">
        <v>21</v>
      </c>
      <c r="AC440" t="s">
        <v>449</v>
      </c>
    </row>
    <row r="441" spans="1:29">
      <c r="A441" s="8">
        <v>2013</v>
      </c>
      <c r="B441" s="8">
        <v>141</v>
      </c>
      <c r="D441" s="8" t="s">
        <v>18</v>
      </c>
      <c r="F441" t="s">
        <v>19</v>
      </c>
      <c r="G441" s="8" t="s">
        <v>26</v>
      </c>
      <c r="I441" s="8" t="s">
        <v>60</v>
      </c>
      <c r="J441" t="s">
        <v>61</v>
      </c>
      <c r="K441" s="8" t="s">
        <v>25</v>
      </c>
      <c r="L441" s="8" t="s">
        <v>35</v>
      </c>
      <c r="M441" s="8"/>
      <c r="N441" s="8"/>
      <c r="O441">
        <v>0</v>
      </c>
      <c r="P441">
        <v>0</v>
      </c>
      <c r="Q441">
        <v>0</v>
      </c>
      <c r="R441">
        <v>0</v>
      </c>
      <c r="S441">
        <v>0</v>
      </c>
      <c r="T441">
        <v>0</v>
      </c>
      <c r="U441">
        <v>0</v>
      </c>
      <c r="V441">
        <v>1</v>
      </c>
      <c r="W441" s="8">
        <v>0</v>
      </c>
      <c r="X441">
        <v>0</v>
      </c>
      <c r="Y441">
        <v>0</v>
      </c>
      <c r="Z441" s="8"/>
      <c r="AA441" s="8" t="s">
        <v>448</v>
      </c>
      <c r="AB441" t="s">
        <v>21</v>
      </c>
      <c r="AC441" t="s">
        <v>450</v>
      </c>
    </row>
    <row r="442" spans="1:29">
      <c r="A442" s="8">
        <v>2013</v>
      </c>
      <c r="B442" s="8">
        <v>141</v>
      </c>
      <c r="D442" s="8" t="s">
        <v>18</v>
      </c>
      <c r="F442" t="s">
        <v>19</v>
      </c>
      <c r="G442" s="8" t="s">
        <v>152</v>
      </c>
      <c r="H442" t="s">
        <v>184</v>
      </c>
      <c r="I442" s="8" t="s">
        <v>60</v>
      </c>
      <c r="J442" t="s">
        <v>61</v>
      </c>
      <c r="K442" s="8" t="s">
        <v>25</v>
      </c>
      <c r="L442" s="8" t="s">
        <v>35</v>
      </c>
      <c r="M442" s="8"/>
      <c r="N442" s="8"/>
      <c r="O442">
        <v>0</v>
      </c>
      <c r="P442">
        <v>1</v>
      </c>
      <c r="Q442">
        <v>0</v>
      </c>
      <c r="R442">
        <v>0</v>
      </c>
      <c r="S442">
        <v>0</v>
      </c>
      <c r="T442">
        <v>0</v>
      </c>
      <c r="U442">
        <v>0</v>
      </c>
      <c r="V442">
        <v>0</v>
      </c>
      <c r="W442" s="8">
        <v>0</v>
      </c>
      <c r="X442">
        <v>0</v>
      </c>
      <c r="Y442">
        <v>0</v>
      </c>
      <c r="Z442" s="8"/>
      <c r="AA442" s="8" t="s">
        <v>448</v>
      </c>
      <c r="AB442" t="s">
        <v>21</v>
      </c>
    </row>
    <row r="443" spans="1:29">
      <c r="A443" s="8">
        <v>2013</v>
      </c>
      <c r="B443" s="8">
        <v>141</v>
      </c>
      <c r="D443" s="8" t="s">
        <v>18</v>
      </c>
      <c r="F443" t="s">
        <v>19</v>
      </c>
      <c r="G443" s="8" t="s">
        <v>22</v>
      </c>
      <c r="H443" t="s">
        <v>24</v>
      </c>
      <c r="I443" s="8" t="s">
        <v>60</v>
      </c>
      <c r="J443" t="s">
        <v>61</v>
      </c>
      <c r="K443" s="8" t="s">
        <v>25</v>
      </c>
      <c r="L443" s="8" t="s">
        <v>35</v>
      </c>
      <c r="M443" s="8"/>
      <c r="N443" s="8"/>
      <c r="O443">
        <v>0</v>
      </c>
      <c r="P443">
        <v>1</v>
      </c>
      <c r="Q443">
        <v>0</v>
      </c>
      <c r="R443">
        <v>0</v>
      </c>
      <c r="S443">
        <v>0</v>
      </c>
      <c r="T443">
        <v>0</v>
      </c>
      <c r="U443">
        <v>0</v>
      </c>
      <c r="V443">
        <v>0</v>
      </c>
      <c r="W443" s="8">
        <v>0</v>
      </c>
      <c r="X443">
        <v>0</v>
      </c>
      <c r="Y443">
        <v>0</v>
      </c>
      <c r="Z443" s="8"/>
      <c r="AA443" s="8" t="s">
        <v>448</v>
      </c>
      <c r="AB443" t="s">
        <v>21</v>
      </c>
    </row>
    <row r="444" spans="1:29">
      <c r="A444" s="8">
        <v>2013</v>
      </c>
      <c r="B444" s="8">
        <v>141</v>
      </c>
      <c r="D444" s="8" t="s">
        <v>18</v>
      </c>
      <c r="F444" t="s">
        <v>19</v>
      </c>
      <c r="G444" s="8" t="s">
        <v>191</v>
      </c>
      <c r="H444" t="s">
        <v>194</v>
      </c>
      <c r="I444" s="8" t="s">
        <v>60</v>
      </c>
      <c r="J444" t="s">
        <v>61</v>
      </c>
      <c r="K444" s="8" t="s">
        <v>25</v>
      </c>
      <c r="L444" s="8" t="s">
        <v>35</v>
      </c>
      <c r="M444" s="8"/>
      <c r="N444" s="8"/>
      <c r="O444">
        <v>0</v>
      </c>
      <c r="P444">
        <v>1</v>
      </c>
      <c r="Q444">
        <v>0</v>
      </c>
      <c r="R444">
        <v>0</v>
      </c>
      <c r="S444">
        <v>0</v>
      </c>
      <c r="T444">
        <v>0</v>
      </c>
      <c r="U444">
        <v>0</v>
      </c>
      <c r="V444">
        <v>0</v>
      </c>
      <c r="W444" s="8">
        <v>0</v>
      </c>
      <c r="X444">
        <v>0</v>
      </c>
      <c r="Y444">
        <v>0</v>
      </c>
      <c r="Z444" s="8"/>
      <c r="AA444" s="8" t="s">
        <v>448</v>
      </c>
      <c r="AB444" t="s">
        <v>21</v>
      </c>
    </row>
    <row r="445" spans="1:29">
      <c r="A445" s="8">
        <v>2013</v>
      </c>
      <c r="B445" s="8">
        <v>141</v>
      </c>
      <c r="D445" s="8" t="s">
        <v>18</v>
      </c>
      <c r="F445" t="s">
        <v>19</v>
      </c>
      <c r="G445" s="8" t="s">
        <v>192</v>
      </c>
      <c r="H445" t="s">
        <v>195</v>
      </c>
      <c r="I445" s="8" t="s">
        <v>60</v>
      </c>
      <c r="J445" t="s">
        <v>61</v>
      </c>
      <c r="K445" s="8" t="s">
        <v>25</v>
      </c>
      <c r="L445" s="8" t="s">
        <v>35</v>
      </c>
      <c r="M445" s="8"/>
      <c r="N445" s="8"/>
      <c r="O445">
        <v>0</v>
      </c>
      <c r="P445">
        <v>1</v>
      </c>
      <c r="Q445">
        <v>0</v>
      </c>
      <c r="R445">
        <v>0</v>
      </c>
      <c r="S445">
        <v>0</v>
      </c>
      <c r="T445">
        <v>0</v>
      </c>
      <c r="U445">
        <v>0</v>
      </c>
      <c r="V445">
        <v>0</v>
      </c>
      <c r="W445" s="8">
        <v>0</v>
      </c>
      <c r="X445">
        <v>0</v>
      </c>
      <c r="Y445">
        <v>0</v>
      </c>
      <c r="Z445" s="8"/>
      <c r="AA445" s="8" t="s">
        <v>448</v>
      </c>
      <c r="AB445" t="s">
        <v>21</v>
      </c>
    </row>
    <row r="446" spans="1:29">
      <c r="A446" s="8">
        <v>2013</v>
      </c>
      <c r="B446" s="8">
        <v>141</v>
      </c>
      <c r="D446" s="8" t="s">
        <v>18</v>
      </c>
      <c r="F446" t="s">
        <v>19</v>
      </c>
      <c r="G446" s="8" t="s">
        <v>60</v>
      </c>
      <c r="H446" t="s">
        <v>61</v>
      </c>
      <c r="I446" s="8" t="s">
        <v>60</v>
      </c>
      <c r="J446" t="s">
        <v>61</v>
      </c>
      <c r="K446" s="8" t="s">
        <v>25</v>
      </c>
      <c r="L446" s="8" t="s">
        <v>35</v>
      </c>
      <c r="M446" s="8"/>
      <c r="N446" s="8"/>
      <c r="O446">
        <v>0</v>
      </c>
      <c r="P446">
        <v>1</v>
      </c>
      <c r="Q446">
        <v>1</v>
      </c>
      <c r="R446">
        <v>0</v>
      </c>
      <c r="S446">
        <v>0</v>
      </c>
      <c r="T446">
        <v>0</v>
      </c>
      <c r="U446">
        <v>0</v>
      </c>
      <c r="V446">
        <v>0</v>
      </c>
      <c r="W446" s="8">
        <v>0</v>
      </c>
      <c r="X446">
        <v>0</v>
      </c>
      <c r="Y446">
        <v>0</v>
      </c>
      <c r="Z446" s="8"/>
      <c r="AA446" s="8" t="s">
        <v>448</v>
      </c>
      <c r="AB446" t="s">
        <v>21</v>
      </c>
    </row>
    <row r="447" spans="1:29">
      <c r="A447" s="8">
        <v>2013</v>
      </c>
      <c r="B447" s="8">
        <v>142</v>
      </c>
      <c r="D447" s="8" t="s">
        <v>18</v>
      </c>
      <c r="F447" t="s">
        <v>19</v>
      </c>
      <c r="G447" s="8" t="s">
        <v>35</v>
      </c>
      <c r="I447" s="8" t="s">
        <v>60</v>
      </c>
      <c r="J447" t="s">
        <v>61</v>
      </c>
      <c r="K447" s="8" t="s">
        <v>25</v>
      </c>
      <c r="L447" s="8" t="s">
        <v>152</v>
      </c>
      <c r="M447" s="8" t="s">
        <v>22</v>
      </c>
      <c r="N447" s="8"/>
      <c r="O447">
        <v>0</v>
      </c>
      <c r="P447">
        <v>1</v>
      </c>
      <c r="Q447">
        <v>1</v>
      </c>
      <c r="R447">
        <v>0</v>
      </c>
      <c r="S447">
        <v>0</v>
      </c>
      <c r="T447">
        <v>0</v>
      </c>
      <c r="U447">
        <v>0</v>
      </c>
      <c r="V447">
        <v>0</v>
      </c>
      <c r="W447" s="8">
        <v>0</v>
      </c>
      <c r="X447">
        <v>0</v>
      </c>
      <c r="Y447">
        <v>0</v>
      </c>
      <c r="Z447" s="8"/>
      <c r="AA447" s="8" t="s">
        <v>451</v>
      </c>
      <c r="AB447" t="s">
        <v>21</v>
      </c>
    </row>
    <row r="448" spans="1:29">
      <c r="A448" s="8">
        <v>2013</v>
      </c>
      <c r="B448" s="8">
        <v>142</v>
      </c>
      <c r="D448" s="8" t="s">
        <v>18</v>
      </c>
      <c r="F448" t="s">
        <v>19</v>
      </c>
      <c r="G448" s="8" t="s">
        <v>152</v>
      </c>
      <c r="H448" t="s">
        <v>184</v>
      </c>
      <c r="I448" s="8" t="s">
        <v>60</v>
      </c>
      <c r="J448" t="s">
        <v>61</v>
      </c>
      <c r="K448" s="8" t="s">
        <v>25</v>
      </c>
      <c r="L448" s="8" t="s">
        <v>152</v>
      </c>
      <c r="M448" s="8" t="s">
        <v>22</v>
      </c>
      <c r="N448" s="8"/>
      <c r="O448">
        <v>0</v>
      </c>
      <c r="P448">
        <v>1</v>
      </c>
      <c r="Q448">
        <v>0</v>
      </c>
      <c r="R448">
        <v>0</v>
      </c>
      <c r="S448">
        <v>0</v>
      </c>
      <c r="T448">
        <v>0</v>
      </c>
      <c r="U448">
        <v>0</v>
      </c>
      <c r="V448">
        <v>0</v>
      </c>
      <c r="W448" s="8">
        <v>0</v>
      </c>
      <c r="X448">
        <v>0</v>
      </c>
      <c r="Y448">
        <v>0</v>
      </c>
      <c r="Z448" s="8"/>
      <c r="AA448" s="8" t="s">
        <v>451</v>
      </c>
      <c r="AB448" t="s">
        <v>21</v>
      </c>
    </row>
    <row r="449" spans="1:30">
      <c r="A449" s="8">
        <v>2013</v>
      </c>
      <c r="B449" s="8">
        <v>142</v>
      </c>
      <c r="D449" s="8" t="s">
        <v>18</v>
      </c>
      <c r="F449" t="s">
        <v>19</v>
      </c>
      <c r="G449" s="8" t="s">
        <v>22</v>
      </c>
      <c r="H449" t="s">
        <v>24</v>
      </c>
      <c r="I449" s="8" t="s">
        <v>60</v>
      </c>
      <c r="J449" t="s">
        <v>61</v>
      </c>
      <c r="K449" s="8" t="s">
        <v>25</v>
      </c>
      <c r="L449" s="8" t="s">
        <v>152</v>
      </c>
      <c r="M449" s="8" t="s">
        <v>22</v>
      </c>
      <c r="N449" s="8"/>
      <c r="O449">
        <v>0</v>
      </c>
      <c r="P449">
        <v>1</v>
      </c>
      <c r="Q449">
        <v>0</v>
      </c>
      <c r="R449">
        <v>0</v>
      </c>
      <c r="S449">
        <v>0</v>
      </c>
      <c r="T449">
        <v>0</v>
      </c>
      <c r="U449">
        <v>0</v>
      </c>
      <c r="V449">
        <v>0</v>
      </c>
      <c r="W449" s="8">
        <v>0</v>
      </c>
      <c r="X449">
        <v>0</v>
      </c>
      <c r="Y449">
        <v>0</v>
      </c>
      <c r="Z449" s="8"/>
      <c r="AA449" s="8" t="s">
        <v>451</v>
      </c>
      <c r="AB449" t="s">
        <v>21</v>
      </c>
    </row>
    <row r="450" spans="1:30">
      <c r="A450" s="8">
        <v>2013</v>
      </c>
      <c r="B450" s="8">
        <v>142</v>
      </c>
      <c r="D450" s="8" t="s">
        <v>18</v>
      </c>
      <c r="F450" t="s">
        <v>19</v>
      </c>
      <c r="G450" s="8" t="s">
        <v>191</v>
      </c>
      <c r="H450" t="s">
        <v>194</v>
      </c>
      <c r="I450" s="8" t="s">
        <v>60</v>
      </c>
      <c r="J450" t="s">
        <v>61</v>
      </c>
      <c r="K450" s="8" t="s">
        <v>25</v>
      </c>
      <c r="L450" s="8" t="s">
        <v>152</v>
      </c>
      <c r="M450" s="8" t="s">
        <v>22</v>
      </c>
      <c r="N450" s="8"/>
      <c r="O450">
        <v>0</v>
      </c>
      <c r="P450">
        <v>1</v>
      </c>
      <c r="Q450">
        <v>0</v>
      </c>
      <c r="R450">
        <v>0</v>
      </c>
      <c r="S450">
        <v>0</v>
      </c>
      <c r="T450">
        <v>0</v>
      </c>
      <c r="U450">
        <v>0</v>
      </c>
      <c r="V450">
        <v>0</v>
      </c>
      <c r="W450" s="8">
        <v>0</v>
      </c>
      <c r="X450">
        <v>0</v>
      </c>
      <c r="Y450">
        <v>0</v>
      </c>
      <c r="Z450" s="8"/>
      <c r="AA450" s="8" t="s">
        <v>451</v>
      </c>
      <c r="AB450" t="s">
        <v>21</v>
      </c>
    </row>
    <row r="451" spans="1:30">
      <c r="A451" s="8">
        <v>2013</v>
      </c>
      <c r="B451" s="8">
        <v>142</v>
      </c>
      <c r="D451" s="8" t="s">
        <v>18</v>
      </c>
      <c r="F451" t="s">
        <v>19</v>
      </c>
      <c r="G451" s="8" t="s">
        <v>192</v>
      </c>
      <c r="H451" t="s">
        <v>195</v>
      </c>
      <c r="I451" s="8" t="s">
        <v>60</v>
      </c>
      <c r="J451" t="s">
        <v>61</v>
      </c>
      <c r="K451" s="8" t="s">
        <v>25</v>
      </c>
      <c r="L451" s="8" t="s">
        <v>152</v>
      </c>
      <c r="M451" s="8" t="s">
        <v>22</v>
      </c>
      <c r="N451" s="8"/>
      <c r="O451">
        <v>0</v>
      </c>
      <c r="P451">
        <v>1</v>
      </c>
      <c r="Q451">
        <v>0</v>
      </c>
      <c r="R451">
        <v>0</v>
      </c>
      <c r="S451">
        <v>0</v>
      </c>
      <c r="T451">
        <v>0</v>
      </c>
      <c r="U451">
        <v>0</v>
      </c>
      <c r="V451">
        <v>0</v>
      </c>
      <c r="W451" s="8">
        <v>0</v>
      </c>
      <c r="X451">
        <v>0</v>
      </c>
      <c r="Y451">
        <v>0</v>
      </c>
      <c r="Z451" s="8"/>
      <c r="AA451" s="8" t="s">
        <v>451</v>
      </c>
      <c r="AB451" t="s">
        <v>21</v>
      </c>
    </row>
    <row r="452" spans="1:30">
      <c r="A452" s="8">
        <v>2013</v>
      </c>
      <c r="B452" s="8">
        <v>142</v>
      </c>
      <c r="D452" s="8" t="s">
        <v>18</v>
      </c>
      <c r="F452" t="s">
        <v>19</v>
      </c>
      <c r="G452" s="8" t="s">
        <v>60</v>
      </c>
      <c r="H452" t="s">
        <v>61</v>
      </c>
      <c r="I452" s="8" t="s">
        <v>60</v>
      </c>
      <c r="J452" t="s">
        <v>61</v>
      </c>
      <c r="K452" s="8" t="s">
        <v>25</v>
      </c>
      <c r="L452" s="8" t="s">
        <v>152</v>
      </c>
      <c r="M452" s="8" t="s">
        <v>22</v>
      </c>
      <c r="N452" s="8"/>
      <c r="O452">
        <v>0</v>
      </c>
      <c r="P452">
        <v>1</v>
      </c>
      <c r="Q452">
        <v>1</v>
      </c>
      <c r="R452">
        <v>0</v>
      </c>
      <c r="S452">
        <v>0</v>
      </c>
      <c r="T452">
        <v>0</v>
      </c>
      <c r="U452">
        <v>0</v>
      </c>
      <c r="V452">
        <v>0</v>
      </c>
      <c r="W452" s="8">
        <v>0</v>
      </c>
      <c r="X452">
        <v>0</v>
      </c>
      <c r="Y452">
        <v>0</v>
      </c>
      <c r="Z452" s="8"/>
      <c r="AA452" s="8" t="s">
        <v>451</v>
      </c>
      <c r="AB452" t="s">
        <v>21</v>
      </c>
    </row>
    <row r="453" spans="1:30">
      <c r="A453" s="8">
        <v>2014</v>
      </c>
      <c r="B453" s="8">
        <v>143</v>
      </c>
      <c r="D453" s="8" t="s">
        <v>18</v>
      </c>
      <c r="F453" t="s">
        <v>19</v>
      </c>
      <c r="G453" s="8" t="s">
        <v>246</v>
      </c>
      <c r="I453" s="8" t="s">
        <v>22</v>
      </c>
      <c r="J453" t="s">
        <v>24</v>
      </c>
      <c r="K453" s="8" t="s">
        <v>201</v>
      </c>
      <c r="L453" t="s">
        <v>246</v>
      </c>
      <c r="O453">
        <v>0</v>
      </c>
      <c r="P453">
        <v>1</v>
      </c>
      <c r="Q453">
        <v>0</v>
      </c>
      <c r="R453">
        <v>1</v>
      </c>
      <c r="S453">
        <v>0</v>
      </c>
      <c r="T453">
        <v>0</v>
      </c>
      <c r="U453">
        <v>0</v>
      </c>
      <c r="V453">
        <v>0</v>
      </c>
      <c r="W453" s="8">
        <v>1</v>
      </c>
      <c r="X453">
        <v>0</v>
      </c>
      <c r="Y453">
        <v>1</v>
      </c>
      <c r="Z453" s="8" t="s">
        <v>164</v>
      </c>
      <c r="AA453" s="8" t="s">
        <v>452</v>
      </c>
      <c r="AB453" t="s">
        <v>21</v>
      </c>
    </row>
    <row r="454" spans="1:30">
      <c r="A454" s="8">
        <v>2014</v>
      </c>
      <c r="B454" s="8">
        <v>144</v>
      </c>
      <c r="D454" s="8" t="s">
        <v>60</v>
      </c>
      <c r="E454" t="s">
        <v>247</v>
      </c>
      <c r="F454" t="s">
        <v>61</v>
      </c>
      <c r="G454" s="8" t="s">
        <v>26</v>
      </c>
      <c r="I454" s="8"/>
      <c r="K454" s="8" t="s">
        <v>25</v>
      </c>
      <c r="L454" s="8" t="s">
        <v>26</v>
      </c>
      <c r="M454" s="8"/>
      <c r="N454" s="8"/>
      <c r="O454">
        <v>0</v>
      </c>
      <c r="P454">
        <v>1</v>
      </c>
      <c r="Q454">
        <v>1</v>
      </c>
      <c r="R454">
        <v>0</v>
      </c>
      <c r="S454">
        <v>0</v>
      </c>
      <c r="T454">
        <v>0</v>
      </c>
      <c r="U454">
        <v>0</v>
      </c>
      <c r="V454">
        <v>0</v>
      </c>
      <c r="W454" s="8">
        <v>0</v>
      </c>
      <c r="X454">
        <v>0</v>
      </c>
      <c r="Y454">
        <v>0</v>
      </c>
      <c r="Z454" s="8"/>
      <c r="AA454" s="8" t="s">
        <v>453</v>
      </c>
      <c r="AB454" t="s">
        <v>21</v>
      </c>
    </row>
    <row r="455" spans="1:30">
      <c r="A455" s="8">
        <v>2014</v>
      </c>
      <c r="B455" s="8">
        <v>145</v>
      </c>
      <c r="D455" s="8" t="s">
        <v>60</v>
      </c>
      <c r="F455" t="s">
        <v>61</v>
      </c>
      <c r="G455" s="8" t="s">
        <v>26</v>
      </c>
      <c r="I455" s="8"/>
      <c r="K455" s="8" t="s">
        <v>25</v>
      </c>
      <c r="L455" s="8" t="s">
        <v>26</v>
      </c>
      <c r="M455" s="8"/>
      <c r="N455" s="8"/>
      <c r="O455">
        <v>0</v>
      </c>
      <c r="P455">
        <v>1</v>
      </c>
      <c r="Q455">
        <v>1</v>
      </c>
      <c r="R455">
        <v>0</v>
      </c>
      <c r="S455">
        <v>0</v>
      </c>
      <c r="T455">
        <v>0</v>
      </c>
      <c r="U455">
        <v>0</v>
      </c>
      <c r="V455">
        <v>0</v>
      </c>
      <c r="W455" s="8">
        <v>0</v>
      </c>
      <c r="X455">
        <v>0</v>
      </c>
      <c r="Y455">
        <v>0</v>
      </c>
      <c r="Z455" s="8"/>
      <c r="AA455" s="8" t="s">
        <v>454</v>
      </c>
      <c r="AB455" t="s">
        <v>21</v>
      </c>
    </row>
    <row r="456" spans="1:30">
      <c r="A456" s="8">
        <v>2014</v>
      </c>
      <c r="B456" s="8">
        <v>146</v>
      </c>
      <c r="D456" s="8" t="s">
        <v>60</v>
      </c>
      <c r="F456" t="s">
        <v>61</v>
      </c>
      <c r="G456" s="8" t="s">
        <v>26</v>
      </c>
      <c r="I456" s="8" t="s">
        <v>192</v>
      </c>
      <c r="J456" t="s">
        <v>195</v>
      </c>
      <c r="K456" s="8" t="s">
        <v>41</v>
      </c>
      <c r="L456" t="s">
        <v>26</v>
      </c>
      <c r="M456" s="8" t="s">
        <v>37</v>
      </c>
      <c r="O456">
        <v>1</v>
      </c>
      <c r="P456">
        <v>0</v>
      </c>
      <c r="Q456">
        <v>1</v>
      </c>
      <c r="R456">
        <v>1</v>
      </c>
      <c r="S456">
        <v>0</v>
      </c>
      <c r="T456">
        <v>0</v>
      </c>
      <c r="U456">
        <v>0</v>
      </c>
      <c r="V456">
        <v>0</v>
      </c>
      <c r="W456" s="8">
        <v>0</v>
      </c>
      <c r="X456">
        <v>0</v>
      </c>
      <c r="Y456">
        <v>0</v>
      </c>
      <c r="Z456" s="8"/>
      <c r="AA456" s="8" t="s">
        <v>455</v>
      </c>
      <c r="AB456" t="s">
        <v>21</v>
      </c>
    </row>
    <row r="457" spans="1:30">
      <c r="A457" s="8">
        <v>2014</v>
      </c>
      <c r="B457" s="8">
        <v>146</v>
      </c>
      <c r="D457" s="8" t="s">
        <v>60</v>
      </c>
      <c r="F457" t="s">
        <v>61</v>
      </c>
      <c r="G457" s="8" t="s">
        <v>37</v>
      </c>
      <c r="I457" s="8" t="s">
        <v>192</v>
      </c>
      <c r="J457" t="s">
        <v>195</v>
      </c>
      <c r="K457" s="8" t="s">
        <v>41</v>
      </c>
      <c r="L457" t="s">
        <v>26</v>
      </c>
      <c r="M457" s="8" t="s">
        <v>37</v>
      </c>
      <c r="O457">
        <v>1</v>
      </c>
      <c r="P457">
        <v>0</v>
      </c>
      <c r="Q457">
        <v>1</v>
      </c>
      <c r="R457">
        <v>1</v>
      </c>
      <c r="S457">
        <v>0</v>
      </c>
      <c r="T457">
        <v>0</v>
      </c>
      <c r="U457">
        <v>0</v>
      </c>
      <c r="V457">
        <v>0</v>
      </c>
      <c r="W457" s="8">
        <v>0</v>
      </c>
      <c r="X457">
        <v>0</v>
      </c>
      <c r="Y457">
        <v>0</v>
      </c>
      <c r="Z457" s="8"/>
      <c r="AA457" s="8" t="s">
        <v>455</v>
      </c>
      <c r="AB457" t="s">
        <v>21</v>
      </c>
    </row>
    <row r="458" spans="1:30">
      <c r="A458" s="8">
        <v>2014</v>
      </c>
      <c r="B458" s="8">
        <v>147</v>
      </c>
      <c r="D458" s="8" t="s">
        <v>60</v>
      </c>
      <c r="E458" t="s">
        <v>456</v>
      </c>
      <c r="F458" t="s">
        <v>61</v>
      </c>
      <c r="G458" s="8" t="s">
        <v>156</v>
      </c>
      <c r="H458" t="s">
        <v>189</v>
      </c>
      <c r="I458" s="8" t="s">
        <v>60</v>
      </c>
      <c r="J458" t="s">
        <v>61</v>
      </c>
      <c r="K458" s="8" t="s">
        <v>65</v>
      </c>
      <c r="L458" t="s">
        <v>156</v>
      </c>
      <c r="O458">
        <v>1</v>
      </c>
      <c r="P458">
        <v>0</v>
      </c>
      <c r="Q458">
        <v>0</v>
      </c>
      <c r="R458">
        <v>0</v>
      </c>
      <c r="S458">
        <v>0</v>
      </c>
      <c r="T458">
        <v>0</v>
      </c>
      <c r="U458">
        <v>0</v>
      </c>
      <c r="V458">
        <v>0</v>
      </c>
      <c r="W458" s="8">
        <v>0</v>
      </c>
      <c r="X458">
        <v>0</v>
      </c>
      <c r="Y458">
        <v>0</v>
      </c>
      <c r="Z458" s="8"/>
      <c r="AA458" s="8" t="s">
        <v>455</v>
      </c>
      <c r="AB458" t="s">
        <v>21</v>
      </c>
    </row>
    <row r="459" spans="1:30">
      <c r="A459" s="8">
        <v>2014</v>
      </c>
      <c r="B459" s="8">
        <v>148</v>
      </c>
      <c r="D459" s="8" t="s">
        <v>60</v>
      </c>
      <c r="E459" t="s">
        <v>209</v>
      </c>
      <c r="F459" t="s">
        <v>61</v>
      </c>
      <c r="G459" s="8" t="s">
        <v>37</v>
      </c>
      <c r="I459" s="8" t="s">
        <v>222</v>
      </c>
      <c r="J459" t="s">
        <v>227</v>
      </c>
      <c r="K459" s="8" t="s">
        <v>41</v>
      </c>
      <c r="L459" t="s">
        <v>26</v>
      </c>
      <c r="M459" s="8" t="s">
        <v>37</v>
      </c>
      <c r="O459">
        <v>0</v>
      </c>
      <c r="P459">
        <v>1</v>
      </c>
      <c r="Q459">
        <v>1</v>
      </c>
      <c r="R459">
        <v>1</v>
      </c>
      <c r="S459">
        <v>0</v>
      </c>
      <c r="T459">
        <v>0</v>
      </c>
      <c r="U459">
        <v>0</v>
      </c>
      <c r="V459">
        <v>0</v>
      </c>
      <c r="W459" s="8">
        <v>1</v>
      </c>
      <c r="X459">
        <v>0</v>
      </c>
      <c r="Y459">
        <v>0</v>
      </c>
      <c r="Z459" s="8" t="s">
        <v>459</v>
      </c>
      <c r="AA459" s="8" t="s">
        <v>458</v>
      </c>
      <c r="AB459" t="s">
        <v>457</v>
      </c>
      <c r="AD459" t="s">
        <v>460</v>
      </c>
    </row>
    <row r="460" spans="1:30">
      <c r="A460" s="8">
        <v>2014</v>
      </c>
      <c r="B460" s="8">
        <v>148</v>
      </c>
      <c r="D460" s="8" t="s">
        <v>60</v>
      </c>
      <c r="E460" t="s">
        <v>209</v>
      </c>
      <c r="F460" t="s">
        <v>61</v>
      </c>
      <c r="G460" s="8" t="s">
        <v>26</v>
      </c>
      <c r="I460" s="8" t="s">
        <v>222</v>
      </c>
      <c r="J460" t="s">
        <v>227</v>
      </c>
      <c r="K460" s="8" t="s">
        <v>41</v>
      </c>
      <c r="L460" t="s">
        <v>26</v>
      </c>
      <c r="M460" s="8" t="s">
        <v>37</v>
      </c>
      <c r="O460">
        <v>0</v>
      </c>
      <c r="P460">
        <v>1</v>
      </c>
      <c r="Q460">
        <v>1</v>
      </c>
      <c r="R460">
        <v>1</v>
      </c>
      <c r="S460">
        <v>0</v>
      </c>
      <c r="T460">
        <v>0</v>
      </c>
      <c r="U460">
        <v>0</v>
      </c>
      <c r="V460">
        <v>0</v>
      </c>
      <c r="W460" s="8">
        <v>1</v>
      </c>
      <c r="X460">
        <v>0</v>
      </c>
      <c r="Y460">
        <v>0</v>
      </c>
      <c r="Z460" s="8" t="s">
        <v>459</v>
      </c>
      <c r="AA460" s="8" t="s">
        <v>458</v>
      </c>
      <c r="AB460" t="s">
        <v>457</v>
      </c>
      <c r="AD460" t="s">
        <v>460</v>
      </c>
    </row>
    <row r="461" spans="1:30">
      <c r="A461" s="8">
        <v>2014</v>
      </c>
      <c r="B461" s="8">
        <v>149</v>
      </c>
      <c r="D461" s="8" t="s">
        <v>60</v>
      </c>
      <c r="E461" t="s">
        <v>209</v>
      </c>
      <c r="F461" t="s">
        <v>61</v>
      </c>
      <c r="G461" s="8" t="s">
        <v>26</v>
      </c>
      <c r="I461" s="8" t="s">
        <v>22</v>
      </c>
      <c r="J461" t="s">
        <v>24</v>
      </c>
      <c r="K461" s="8" t="s">
        <v>65</v>
      </c>
      <c r="L461" t="s">
        <v>22</v>
      </c>
      <c r="O461">
        <v>1</v>
      </c>
      <c r="P461">
        <v>0</v>
      </c>
      <c r="Q461">
        <v>1</v>
      </c>
      <c r="R461">
        <v>1</v>
      </c>
      <c r="S461">
        <v>0</v>
      </c>
      <c r="T461">
        <v>0</v>
      </c>
      <c r="U461">
        <v>0</v>
      </c>
      <c r="V461">
        <v>0</v>
      </c>
      <c r="W461" s="8">
        <v>0</v>
      </c>
      <c r="X461">
        <v>0</v>
      </c>
      <c r="Y461">
        <v>0</v>
      </c>
      <c r="Z461" s="8"/>
      <c r="AA461" s="8" t="s">
        <v>461</v>
      </c>
      <c r="AB461" t="s">
        <v>21</v>
      </c>
    </row>
    <row r="462" spans="1:30">
      <c r="A462" s="8">
        <v>2014</v>
      </c>
      <c r="B462" s="8">
        <v>150</v>
      </c>
      <c r="D462" s="8" t="s">
        <v>60</v>
      </c>
      <c r="E462" t="s">
        <v>254</v>
      </c>
      <c r="F462" t="s">
        <v>61</v>
      </c>
      <c r="G462" s="8" t="s">
        <v>26</v>
      </c>
      <c r="I462" s="8" t="s">
        <v>22</v>
      </c>
      <c r="J462" t="s">
        <v>24</v>
      </c>
      <c r="K462" s="8" t="s">
        <v>25</v>
      </c>
      <c r="L462" t="s">
        <v>26</v>
      </c>
      <c r="O462">
        <v>0</v>
      </c>
      <c r="P462">
        <v>1</v>
      </c>
      <c r="Q462">
        <v>1</v>
      </c>
      <c r="R462">
        <v>0</v>
      </c>
      <c r="S462">
        <v>0</v>
      </c>
      <c r="T462">
        <v>0</v>
      </c>
      <c r="U462">
        <v>0</v>
      </c>
      <c r="V462">
        <v>0</v>
      </c>
      <c r="W462" s="8">
        <v>0</v>
      </c>
      <c r="X462">
        <v>0</v>
      </c>
      <c r="Y462">
        <v>0</v>
      </c>
      <c r="Z462" s="8"/>
      <c r="AA462" s="8" t="s">
        <v>462</v>
      </c>
      <c r="AB462" t="s">
        <v>21</v>
      </c>
    </row>
    <row r="463" spans="1:30">
      <c r="A463" s="8">
        <v>2014</v>
      </c>
      <c r="B463" s="8">
        <v>151</v>
      </c>
      <c r="D463" s="8" t="s">
        <v>18</v>
      </c>
      <c r="F463" t="s">
        <v>19</v>
      </c>
      <c r="G463" s="8" t="s">
        <v>35</v>
      </c>
      <c r="I463" s="8" t="s">
        <v>22</v>
      </c>
      <c r="J463" t="s">
        <v>24</v>
      </c>
      <c r="K463" s="8" t="s">
        <v>25</v>
      </c>
      <c r="L463" t="s">
        <v>22</v>
      </c>
      <c r="O463">
        <v>0</v>
      </c>
      <c r="P463">
        <v>1</v>
      </c>
      <c r="Q463">
        <v>1</v>
      </c>
      <c r="R463">
        <v>0</v>
      </c>
      <c r="S463">
        <v>0</v>
      </c>
      <c r="T463">
        <v>0</v>
      </c>
      <c r="U463">
        <v>0</v>
      </c>
      <c r="V463">
        <v>0</v>
      </c>
      <c r="W463" s="8">
        <v>1</v>
      </c>
      <c r="X463">
        <v>0</v>
      </c>
      <c r="Y463">
        <v>1</v>
      </c>
      <c r="Z463" s="8" t="s">
        <v>164</v>
      </c>
      <c r="AA463" s="8" t="s">
        <v>463</v>
      </c>
      <c r="AB463" t="s">
        <v>21</v>
      </c>
    </row>
    <row r="464" spans="1:30">
      <c r="A464" s="8">
        <v>2014</v>
      </c>
      <c r="B464" s="8">
        <v>151</v>
      </c>
      <c r="D464" s="8" t="s">
        <v>18</v>
      </c>
      <c r="F464" t="s">
        <v>19</v>
      </c>
      <c r="G464" s="8" t="s">
        <v>152</v>
      </c>
      <c r="H464" t="s">
        <v>184</v>
      </c>
      <c r="I464" s="8" t="s">
        <v>22</v>
      </c>
      <c r="J464" t="s">
        <v>24</v>
      </c>
      <c r="K464" s="8" t="s">
        <v>25</v>
      </c>
      <c r="L464" t="s">
        <v>22</v>
      </c>
      <c r="O464">
        <v>0</v>
      </c>
      <c r="P464">
        <v>1</v>
      </c>
      <c r="Q464">
        <v>0</v>
      </c>
      <c r="R464">
        <v>0</v>
      </c>
      <c r="S464">
        <v>0</v>
      </c>
      <c r="T464">
        <v>0</v>
      </c>
      <c r="U464">
        <v>0</v>
      </c>
      <c r="V464">
        <v>0</v>
      </c>
      <c r="W464" s="8">
        <v>1</v>
      </c>
      <c r="X464">
        <v>0</v>
      </c>
      <c r="Y464">
        <v>1</v>
      </c>
      <c r="Z464" s="8" t="s">
        <v>164</v>
      </c>
      <c r="AA464" s="8" t="s">
        <v>463</v>
      </c>
      <c r="AB464" t="s">
        <v>21</v>
      </c>
    </row>
    <row r="465" spans="1:28">
      <c r="A465" s="8">
        <v>2014</v>
      </c>
      <c r="B465" s="8">
        <v>151</v>
      </c>
      <c r="D465" s="8" t="s">
        <v>18</v>
      </c>
      <c r="F465" t="s">
        <v>19</v>
      </c>
      <c r="G465" s="8" t="s">
        <v>22</v>
      </c>
      <c r="H465" t="s">
        <v>24</v>
      </c>
      <c r="I465" s="8" t="s">
        <v>22</v>
      </c>
      <c r="J465" t="s">
        <v>24</v>
      </c>
      <c r="K465" s="8" t="s">
        <v>25</v>
      </c>
      <c r="L465" t="s">
        <v>22</v>
      </c>
      <c r="O465">
        <v>0</v>
      </c>
      <c r="P465">
        <v>1</v>
      </c>
      <c r="Q465">
        <v>1</v>
      </c>
      <c r="R465">
        <v>0</v>
      </c>
      <c r="S465">
        <v>0</v>
      </c>
      <c r="T465">
        <v>0</v>
      </c>
      <c r="U465">
        <v>0</v>
      </c>
      <c r="V465">
        <v>0</v>
      </c>
      <c r="W465" s="8">
        <v>1</v>
      </c>
      <c r="X465">
        <v>0</v>
      </c>
      <c r="Y465">
        <v>1</v>
      </c>
      <c r="Z465" s="8" t="s">
        <v>164</v>
      </c>
      <c r="AA465" s="8" t="s">
        <v>463</v>
      </c>
      <c r="AB465" t="s">
        <v>21</v>
      </c>
    </row>
    <row r="466" spans="1:28">
      <c r="A466" s="8">
        <v>2014</v>
      </c>
      <c r="B466" s="8">
        <v>151</v>
      </c>
      <c r="D466" s="8" t="s">
        <v>18</v>
      </c>
      <c r="F466" t="s">
        <v>19</v>
      </c>
      <c r="G466" s="8" t="s">
        <v>191</v>
      </c>
      <c r="H466" t="s">
        <v>194</v>
      </c>
      <c r="I466" s="8" t="s">
        <v>22</v>
      </c>
      <c r="J466" t="s">
        <v>24</v>
      </c>
      <c r="K466" s="8" t="s">
        <v>25</v>
      </c>
      <c r="L466" t="s">
        <v>22</v>
      </c>
      <c r="O466">
        <v>0</v>
      </c>
      <c r="P466">
        <v>1</v>
      </c>
      <c r="Q466">
        <v>0</v>
      </c>
      <c r="R466">
        <v>0</v>
      </c>
      <c r="S466">
        <v>0</v>
      </c>
      <c r="T466">
        <v>0</v>
      </c>
      <c r="U466">
        <v>0</v>
      </c>
      <c r="V466">
        <v>0</v>
      </c>
      <c r="W466" s="8">
        <v>1</v>
      </c>
      <c r="X466">
        <v>0</v>
      </c>
      <c r="Y466">
        <v>1</v>
      </c>
      <c r="Z466" s="8" t="s">
        <v>164</v>
      </c>
      <c r="AA466" s="8" t="s">
        <v>463</v>
      </c>
      <c r="AB466" t="s">
        <v>21</v>
      </c>
    </row>
    <row r="467" spans="1:28">
      <c r="A467" s="8">
        <v>2014</v>
      </c>
      <c r="B467" s="8">
        <v>151</v>
      </c>
      <c r="D467" s="8" t="s">
        <v>18</v>
      </c>
      <c r="F467" t="s">
        <v>19</v>
      </c>
      <c r="G467" s="8" t="s">
        <v>192</v>
      </c>
      <c r="H467" t="s">
        <v>195</v>
      </c>
      <c r="I467" s="8" t="s">
        <v>22</v>
      </c>
      <c r="J467" t="s">
        <v>24</v>
      </c>
      <c r="K467" s="8" t="s">
        <v>25</v>
      </c>
      <c r="L467" t="s">
        <v>22</v>
      </c>
      <c r="O467">
        <v>0</v>
      </c>
      <c r="P467">
        <v>1</v>
      </c>
      <c r="Q467">
        <v>0</v>
      </c>
      <c r="R467">
        <v>0</v>
      </c>
      <c r="S467">
        <v>0</v>
      </c>
      <c r="T467">
        <v>0</v>
      </c>
      <c r="U467">
        <v>0</v>
      </c>
      <c r="V467">
        <v>0</v>
      </c>
      <c r="W467" s="8">
        <v>1</v>
      </c>
      <c r="X467">
        <v>0</v>
      </c>
      <c r="Y467">
        <v>1</v>
      </c>
      <c r="Z467" s="8" t="s">
        <v>164</v>
      </c>
      <c r="AA467" s="8" t="s">
        <v>463</v>
      </c>
      <c r="AB467" t="s">
        <v>21</v>
      </c>
    </row>
    <row r="468" spans="1:28">
      <c r="A468" s="8">
        <v>2014</v>
      </c>
      <c r="B468" s="8">
        <v>151</v>
      </c>
      <c r="D468" s="8" t="s">
        <v>18</v>
      </c>
      <c r="F468" t="s">
        <v>19</v>
      </c>
      <c r="G468" s="8" t="s">
        <v>60</v>
      </c>
      <c r="H468" t="s">
        <v>61</v>
      </c>
      <c r="I468" s="8" t="s">
        <v>22</v>
      </c>
      <c r="J468" t="s">
        <v>24</v>
      </c>
      <c r="K468" s="8" t="s">
        <v>25</v>
      </c>
      <c r="L468" t="s">
        <v>22</v>
      </c>
      <c r="O468">
        <v>0</v>
      </c>
      <c r="P468">
        <v>1</v>
      </c>
      <c r="Q468">
        <v>0</v>
      </c>
      <c r="R468">
        <v>0</v>
      </c>
      <c r="S468">
        <v>0</v>
      </c>
      <c r="T468">
        <v>0</v>
      </c>
      <c r="U468">
        <v>0</v>
      </c>
      <c r="V468">
        <v>0</v>
      </c>
      <c r="W468" s="8">
        <v>1</v>
      </c>
      <c r="X468">
        <v>0</v>
      </c>
      <c r="Y468">
        <v>1</v>
      </c>
      <c r="Z468" s="8" t="s">
        <v>164</v>
      </c>
      <c r="AA468" s="8" t="s">
        <v>463</v>
      </c>
      <c r="AB468" t="s">
        <v>21</v>
      </c>
    </row>
    <row r="469" spans="1:28">
      <c r="A469" s="8">
        <v>2014</v>
      </c>
      <c r="B469" s="8">
        <v>152</v>
      </c>
      <c r="D469" s="8" t="s">
        <v>60</v>
      </c>
      <c r="E469" t="s">
        <v>209</v>
      </c>
      <c r="F469" t="s">
        <v>61</v>
      </c>
      <c r="G469" s="8" t="s">
        <v>156</v>
      </c>
      <c r="H469" t="s">
        <v>189</v>
      </c>
      <c r="I469" s="8" t="s">
        <v>156</v>
      </c>
      <c r="J469" t="s">
        <v>189</v>
      </c>
      <c r="K469" s="8" t="s">
        <v>65</v>
      </c>
      <c r="L469" t="s">
        <v>156</v>
      </c>
      <c r="O469">
        <v>0</v>
      </c>
      <c r="P469">
        <v>1</v>
      </c>
      <c r="Q469">
        <v>1</v>
      </c>
      <c r="R469">
        <v>0</v>
      </c>
      <c r="S469">
        <v>0</v>
      </c>
      <c r="T469">
        <v>0</v>
      </c>
      <c r="U469">
        <v>0</v>
      </c>
      <c r="V469">
        <v>0</v>
      </c>
      <c r="W469" s="8">
        <v>0</v>
      </c>
      <c r="X469">
        <v>0</v>
      </c>
      <c r="Y469">
        <v>0</v>
      </c>
      <c r="AA469" s="8" t="s">
        <v>464</v>
      </c>
      <c r="AB469" t="s">
        <v>21</v>
      </c>
    </row>
    <row r="470" spans="1:28">
      <c r="A470">
        <v>2015</v>
      </c>
      <c r="B470" s="8">
        <v>153</v>
      </c>
      <c r="D470" t="s">
        <v>18</v>
      </c>
      <c r="F470" t="s">
        <v>19</v>
      </c>
      <c r="G470" t="s">
        <v>62</v>
      </c>
      <c r="H470" t="s">
        <v>63</v>
      </c>
      <c r="I470" t="s">
        <v>62</v>
      </c>
      <c r="J470" t="s">
        <v>63</v>
      </c>
      <c r="K470" t="s">
        <v>65</v>
      </c>
      <c r="L470" t="s">
        <v>62</v>
      </c>
      <c r="O470">
        <v>0</v>
      </c>
      <c r="P470">
        <v>1</v>
      </c>
      <c r="Q470">
        <v>1</v>
      </c>
      <c r="R470">
        <v>0</v>
      </c>
      <c r="S470">
        <v>0</v>
      </c>
      <c r="T470">
        <v>0</v>
      </c>
      <c r="U470">
        <v>0</v>
      </c>
      <c r="V470">
        <v>0</v>
      </c>
      <c r="W470">
        <v>0</v>
      </c>
      <c r="X470">
        <v>0</v>
      </c>
      <c r="Y470">
        <v>0</v>
      </c>
      <c r="AA470" t="s">
        <v>64</v>
      </c>
      <c r="AB470" t="s">
        <v>21</v>
      </c>
    </row>
    <row r="471" spans="1:28">
      <c r="A471">
        <v>2015</v>
      </c>
      <c r="B471" s="8">
        <v>154</v>
      </c>
      <c r="D471" t="s">
        <v>18</v>
      </c>
      <c r="F471" t="s">
        <v>19</v>
      </c>
      <c r="G471" t="s">
        <v>26</v>
      </c>
      <c r="I471" t="s">
        <v>22</v>
      </c>
      <c r="J471" t="s">
        <v>24</v>
      </c>
      <c r="K471" t="s">
        <v>25</v>
      </c>
      <c r="L471" t="s">
        <v>26</v>
      </c>
      <c r="O471">
        <v>0</v>
      </c>
      <c r="P471">
        <v>1</v>
      </c>
      <c r="Q471">
        <v>1</v>
      </c>
      <c r="R471">
        <v>0</v>
      </c>
      <c r="S471">
        <v>0</v>
      </c>
      <c r="T471">
        <v>0</v>
      </c>
      <c r="U471">
        <v>0</v>
      </c>
      <c r="V471">
        <v>0</v>
      </c>
      <c r="W471">
        <v>1</v>
      </c>
      <c r="X471">
        <v>0</v>
      </c>
      <c r="Y471">
        <v>0</v>
      </c>
      <c r="Z471" t="s">
        <v>465</v>
      </c>
      <c r="AA471" t="s">
        <v>66</v>
      </c>
      <c r="AB471" t="s">
        <v>21</v>
      </c>
    </row>
    <row r="472" spans="1:28">
      <c r="A472" s="8">
        <v>2015</v>
      </c>
      <c r="B472" s="8">
        <v>155</v>
      </c>
      <c r="D472" s="8" t="s">
        <v>60</v>
      </c>
      <c r="E472" t="s">
        <v>248</v>
      </c>
      <c r="F472" t="s">
        <v>61</v>
      </c>
      <c r="G472" s="8" t="s">
        <v>26</v>
      </c>
      <c r="I472" s="8"/>
      <c r="K472" s="8" t="s">
        <v>25</v>
      </c>
      <c r="L472" t="s">
        <v>26</v>
      </c>
      <c r="O472">
        <v>1</v>
      </c>
      <c r="P472">
        <v>1</v>
      </c>
      <c r="Q472">
        <v>1</v>
      </c>
      <c r="R472">
        <v>0</v>
      </c>
      <c r="S472">
        <v>0</v>
      </c>
      <c r="T472">
        <v>0</v>
      </c>
      <c r="U472">
        <v>0</v>
      </c>
      <c r="V472">
        <v>0</v>
      </c>
      <c r="W472" s="8">
        <v>0</v>
      </c>
      <c r="X472">
        <v>0</v>
      </c>
      <c r="Y472">
        <v>0</v>
      </c>
      <c r="Z472" s="8"/>
      <c r="AA472" s="8" t="s">
        <v>466</v>
      </c>
      <c r="AB472" t="s">
        <v>21</v>
      </c>
    </row>
    <row r="473" spans="1:28">
      <c r="A473" s="8">
        <v>2015</v>
      </c>
      <c r="B473" s="8">
        <v>156</v>
      </c>
      <c r="D473" s="8" t="s">
        <v>60</v>
      </c>
      <c r="F473" t="s">
        <v>61</v>
      </c>
      <c r="G473" s="8" t="s">
        <v>26</v>
      </c>
      <c r="I473" s="8" t="s">
        <v>22</v>
      </c>
      <c r="J473" t="s">
        <v>24</v>
      </c>
      <c r="K473" s="8" t="s">
        <v>25</v>
      </c>
      <c r="L473" t="s">
        <v>26</v>
      </c>
      <c r="O473">
        <v>0</v>
      </c>
      <c r="P473">
        <v>1</v>
      </c>
      <c r="Q473">
        <v>1</v>
      </c>
      <c r="R473">
        <v>0</v>
      </c>
      <c r="S473">
        <v>0</v>
      </c>
      <c r="T473">
        <v>0</v>
      </c>
      <c r="U473">
        <v>0</v>
      </c>
      <c r="V473">
        <v>0</v>
      </c>
      <c r="W473" s="8">
        <v>0</v>
      </c>
      <c r="X473">
        <v>0</v>
      </c>
      <c r="Y473">
        <v>0</v>
      </c>
      <c r="Z473" s="8"/>
      <c r="AA473" s="8" t="s">
        <v>467</v>
      </c>
      <c r="AB473" t="s">
        <v>21</v>
      </c>
    </row>
    <row r="474" spans="1:28">
      <c r="A474" s="8">
        <v>2015</v>
      </c>
      <c r="B474" s="8">
        <v>156</v>
      </c>
      <c r="D474" s="8" t="s">
        <v>60</v>
      </c>
      <c r="F474" t="s">
        <v>61</v>
      </c>
      <c r="G474" s="8" t="s">
        <v>22</v>
      </c>
      <c r="H474" t="s">
        <v>24</v>
      </c>
      <c r="I474" s="8" t="s">
        <v>22</v>
      </c>
      <c r="J474" t="s">
        <v>24</v>
      </c>
      <c r="K474" s="8" t="s">
        <v>25</v>
      </c>
      <c r="L474" t="s">
        <v>26</v>
      </c>
      <c r="O474">
        <v>0</v>
      </c>
      <c r="P474">
        <v>1</v>
      </c>
      <c r="Q474">
        <v>1</v>
      </c>
      <c r="R474">
        <v>0</v>
      </c>
      <c r="S474">
        <v>0</v>
      </c>
      <c r="T474">
        <v>0</v>
      </c>
      <c r="U474">
        <v>0</v>
      </c>
      <c r="V474">
        <v>0</v>
      </c>
      <c r="W474" s="8">
        <v>0</v>
      </c>
      <c r="X474">
        <v>0</v>
      </c>
      <c r="Y474">
        <v>0</v>
      </c>
      <c r="Z474" s="8"/>
      <c r="AA474" s="8" t="s">
        <v>467</v>
      </c>
      <c r="AB474" t="s">
        <v>21</v>
      </c>
    </row>
    <row r="475" spans="1:28">
      <c r="A475" s="8">
        <v>2015</v>
      </c>
      <c r="B475" s="8">
        <v>157</v>
      </c>
      <c r="D475" s="8" t="s">
        <v>18</v>
      </c>
      <c r="F475" t="s">
        <v>19</v>
      </c>
      <c r="G475" s="8" t="s">
        <v>35</v>
      </c>
      <c r="I475" s="8" t="s">
        <v>229</v>
      </c>
      <c r="J475" t="s">
        <v>242</v>
      </c>
      <c r="K475" s="8" t="s">
        <v>25</v>
      </c>
      <c r="L475" t="s">
        <v>35</v>
      </c>
      <c r="O475">
        <v>0</v>
      </c>
      <c r="P475">
        <v>1</v>
      </c>
      <c r="Q475">
        <v>1</v>
      </c>
      <c r="R475">
        <v>0</v>
      </c>
      <c r="S475">
        <v>0</v>
      </c>
      <c r="T475">
        <v>0</v>
      </c>
      <c r="U475">
        <v>0</v>
      </c>
      <c r="V475">
        <v>0</v>
      </c>
      <c r="W475" s="8">
        <v>1</v>
      </c>
      <c r="X475">
        <v>0</v>
      </c>
      <c r="Y475">
        <v>1</v>
      </c>
      <c r="Z475" s="8" t="s">
        <v>164</v>
      </c>
      <c r="AA475" s="8" t="s">
        <v>468</v>
      </c>
      <c r="AB475" t="s">
        <v>21</v>
      </c>
    </row>
    <row r="476" spans="1:28">
      <c r="A476" s="8">
        <v>2015</v>
      </c>
      <c r="B476" s="8">
        <v>157</v>
      </c>
      <c r="D476" s="8" t="s">
        <v>18</v>
      </c>
      <c r="F476" t="s">
        <v>19</v>
      </c>
      <c r="G476" s="8" t="s">
        <v>152</v>
      </c>
      <c r="H476" t="s">
        <v>184</v>
      </c>
      <c r="I476" s="8" t="s">
        <v>229</v>
      </c>
      <c r="J476" t="s">
        <v>242</v>
      </c>
      <c r="K476" s="8" t="s">
        <v>25</v>
      </c>
      <c r="L476" t="s">
        <v>35</v>
      </c>
      <c r="O476">
        <v>0</v>
      </c>
      <c r="P476">
        <v>1</v>
      </c>
      <c r="Q476">
        <v>0</v>
      </c>
      <c r="R476">
        <v>0</v>
      </c>
      <c r="S476">
        <v>0</v>
      </c>
      <c r="T476">
        <v>0</v>
      </c>
      <c r="U476">
        <v>0</v>
      </c>
      <c r="V476">
        <v>0</v>
      </c>
      <c r="W476" s="8">
        <v>1</v>
      </c>
      <c r="X476">
        <v>0</v>
      </c>
      <c r="Y476">
        <v>1</v>
      </c>
      <c r="Z476" s="8" t="s">
        <v>164</v>
      </c>
      <c r="AA476" s="8" t="s">
        <v>468</v>
      </c>
      <c r="AB476" t="s">
        <v>21</v>
      </c>
    </row>
    <row r="477" spans="1:28">
      <c r="A477" s="8">
        <v>2015</v>
      </c>
      <c r="B477" s="8">
        <v>157</v>
      </c>
      <c r="D477" s="8" t="s">
        <v>18</v>
      </c>
      <c r="F477" t="s">
        <v>19</v>
      </c>
      <c r="G477" s="8" t="s">
        <v>22</v>
      </c>
      <c r="H477" t="s">
        <v>24</v>
      </c>
      <c r="I477" s="8" t="s">
        <v>229</v>
      </c>
      <c r="J477" t="s">
        <v>242</v>
      </c>
      <c r="K477" s="8" t="s">
        <v>25</v>
      </c>
      <c r="L477" t="s">
        <v>35</v>
      </c>
      <c r="O477">
        <v>0</v>
      </c>
      <c r="P477">
        <v>1</v>
      </c>
      <c r="Q477">
        <v>0</v>
      </c>
      <c r="R477">
        <v>0</v>
      </c>
      <c r="S477">
        <v>0</v>
      </c>
      <c r="T477">
        <v>0</v>
      </c>
      <c r="U477">
        <v>0</v>
      </c>
      <c r="V477">
        <v>0</v>
      </c>
      <c r="W477" s="8">
        <v>1</v>
      </c>
      <c r="X477">
        <v>0</v>
      </c>
      <c r="Y477">
        <v>1</v>
      </c>
      <c r="Z477" s="8" t="s">
        <v>164</v>
      </c>
      <c r="AA477" s="8" t="s">
        <v>468</v>
      </c>
      <c r="AB477" t="s">
        <v>21</v>
      </c>
    </row>
    <row r="478" spans="1:28">
      <c r="A478" s="8">
        <v>2015</v>
      </c>
      <c r="B478" s="8">
        <v>157</v>
      </c>
      <c r="D478" s="8" t="s">
        <v>18</v>
      </c>
      <c r="F478" t="s">
        <v>19</v>
      </c>
      <c r="G478" s="8" t="s">
        <v>191</v>
      </c>
      <c r="H478" t="s">
        <v>194</v>
      </c>
      <c r="I478" s="8" t="s">
        <v>229</v>
      </c>
      <c r="J478" t="s">
        <v>242</v>
      </c>
      <c r="K478" s="8" t="s">
        <v>25</v>
      </c>
      <c r="L478" t="s">
        <v>35</v>
      </c>
      <c r="O478">
        <v>0</v>
      </c>
      <c r="P478">
        <v>1</v>
      </c>
      <c r="Q478">
        <v>0</v>
      </c>
      <c r="R478">
        <v>0</v>
      </c>
      <c r="S478">
        <v>0</v>
      </c>
      <c r="T478">
        <v>0</v>
      </c>
      <c r="U478">
        <v>0</v>
      </c>
      <c r="V478">
        <v>0</v>
      </c>
      <c r="W478" s="8">
        <v>1</v>
      </c>
      <c r="X478">
        <v>0</v>
      </c>
      <c r="Y478">
        <v>1</v>
      </c>
      <c r="Z478" s="8" t="s">
        <v>164</v>
      </c>
      <c r="AA478" s="8" t="s">
        <v>468</v>
      </c>
      <c r="AB478" t="s">
        <v>21</v>
      </c>
    </row>
    <row r="479" spans="1:28">
      <c r="A479" s="8">
        <v>2015</v>
      </c>
      <c r="B479" s="8">
        <v>157</v>
      </c>
      <c r="D479" s="8" t="s">
        <v>18</v>
      </c>
      <c r="F479" t="s">
        <v>19</v>
      </c>
      <c r="G479" s="8" t="s">
        <v>192</v>
      </c>
      <c r="H479" t="s">
        <v>195</v>
      </c>
      <c r="I479" s="8" t="s">
        <v>229</v>
      </c>
      <c r="J479" t="s">
        <v>242</v>
      </c>
      <c r="K479" s="8" t="s">
        <v>25</v>
      </c>
      <c r="L479" t="s">
        <v>35</v>
      </c>
      <c r="O479">
        <v>0</v>
      </c>
      <c r="P479">
        <v>1</v>
      </c>
      <c r="Q479">
        <v>0</v>
      </c>
      <c r="R479">
        <v>0</v>
      </c>
      <c r="S479">
        <v>0</v>
      </c>
      <c r="T479">
        <v>0</v>
      </c>
      <c r="U479">
        <v>0</v>
      </c>
      <c r="V479">
        <v>0</v>
      </c>
      <c r="W479" s="8">
        <v>1</v>
      </c>
      <c r="X479">
        <v>0</v>
      </c>
      <c r="Y479">
        <v>1</v>
      </c>
      <c r="Z479" s="8" t="s">
        <v>164</v>
      </c>
      <c r="AA479" s="8" t="s">
        <v>468</v>
      </c>
      <c r="AB479" t="s">
        <v>21</v>
      </c>
    </row>
    <row r="480" spans="1:28">
      <c r="A480" s="8">
        <v>2015</v>
      </c>
      <c r="B480" s="8">
        <v>157</v>
      </c>
      <c r="D480" s="8" t="s">
        <v>18</v>
      </c>
      <c r="F480" t="s">
        <v>19</v>
      </c>
      <c r="G480" s="8" t="s">
        <v>60</v>
      </c>
      <c r="H480" t="s">
        <v>61</v>
      </c>
      <c r="I480" s="8" t="s">
        <v>229</v>
      </c>
      <c r="J480" t="s">
        <v>242</v>
      </c>
      <c r="K480" s="8" t="s">
        <v>25</v>
      </c>
      <c r="L480" t="s">
        <v>35</v>
      </c>
      <c r="O480">
        <v>0</v>
      </c>
      <c r="P480">
        <v>1</v>
      </c>
      <c r="Q480">
        <v>0</v>
      </c>
      <c r="R480">
        <v>0</v>
      </c>
      <c r="S480">
        <v>0</v>
      </c>
      <c r="T480">
        <v>0</v>
      </c>
      <c r="U480">
        <v>0</v>
      </c>
      <c r="V480">
        <v>0</v>
      </c>
      <c r="W480" s="8">
        <v>1</v>
      </c>
      <c r="X480">
        <v>0</v>
      </c>
      <c r="Y480">
        <v>1</v>
      </c>
      <c r="Z480" s="8" t="s">
        <v>164</v>
      </c>
      <c r="AA480" s="8" t="s">
        <v>468</v>
      </c>
      <c r="AB480" t="s">
        <v>21</v>
      </c>
    </row>
    <row r="481" spans="1:30">
      <c r="A481" s="8">
        <v>2015</v>
      </c>
      <c r="B481" s="8">
        <v>158</v>
      </c>
      <c r="D481" s="8" t="s">
        <v>18</v>
      </c>
      <c r="F481" t="s">
        <v>19</v>
      </c>
      <c r="G481" s="8" t="s">
        <v>229</v>
      </c>
      <c r="H481" t="s">
        <v>242</v>
      </c>
      <c r="I481" s="11" t="s">
        <v>229</v>
      </c>
      <c r="J481" t="s">
        <v>242</v>
      </c>
      <c r="K481" s="8" t="s">
        <v>65</v>
      </c>
      <c r="L481" t="s">
        <v>229</v>
      </c>
      <c r="O481">
        <v>0</v>
      </c>
      <c r="P481">
        <v>1</v>
      </c>
      <c r="Q481">
        <v>1</v>
      </c>
      <c r="R481">
        <v>0</v>
      </c>
      <c r="S481">
        <v>0</v>
      </c>
      <c r="T481">
        <v>0</v>
      </c>
      <c r="U481">
        <v>1</v>
      </c>
      <c r="V481">
        <v>0</v>
      </c>
      <c r="W481" s="8">
        <v>1</v>
      </c>
      <c r="X481" s="8">
        <v>1</v>
      </c>
      <c r="Y481" s="8">
        <v>0</v>
      </c>
      <c r="Z481" s="8" t="s">
        <v>231</v>
      </c>
      <c r="AA481" s="8" t="s">
        <v>469</v>
      </c>
      <c r="AB481" t="s">
        <v>21</v>
      </c>
      <c r="AD481" t="s">
        <v>470</v>
      </c>
    </row>
    <row r="482" spans="1:30">
      <c r="A482" s="8">
        <v>2015</v>
      </c>
      <c r="B482" s="8">
        <v>159</v>
      </c>
      <c r="D482" s="8" t="s">
        <v>18</v>
      </c>
      <c r="F482" t="s">
        <v>19</v>
      </c>
      <c r="G482" s="8" t="s">
        <v>35</v>
      </c>
      <c r="I482" s="8" t="s">
        <v>230</v>
      </c>
      <c r="J482" t="s">
        <v>24</v>
      </c>
      <c r="K482" s="8" t="s">
        <v>25</v>
      </c>
      <c r="L482" t="s">
        <v>35</v>
      </c>
      <c r="O482">
        <v>0</v>
      </c>
      <c r="P482">
        <v>1</v>
      </c>
      <c r="Q482">
        <v>1</v>
      </c>
      <c r="R482">
        <v>0</v>
      </c>
      <c r="S482">
        <v>0</v>
      </c>
      <c r="T482">
        <v>0</v>
      </c>
      <c r="U482">
        <v>0</v>
      </c>
      <c r="V482">
        <v>0</v>
      </c>
      <c r="W482" s="8">
        <v>0</v>
      </c>
      <c r="X482">
        <v>0</v>
      </c>
      <c r="Y482">
        <v>0</v>
      </c>
      <c r="Z482" s="8"/>
      <c r="AA482" s="8" t="s">
        <v>471</v>
      </c>
      <c r="AB482" t="s">
        <v>21</v>
      </c>
    </row>
    <row r="483" spans="1:30">
      <c r="A483" s="8">
        <v>2015</v>
      </c>
      <c r="B483" s="8">
        <v>159</v>
      </c>
      <c r="D483" s="8" t="s">
        <v>18</v>
      </c>
      <c r="F483" t="s">
        <v>19</v>
      </c>
      <c r="G483" s="8" t="s">
        <v>152</v>
      </c>
      <c r="H483" t="s">
        <v>184</v>
      </c>
      <c r="I483" s="8" t="s">
        <v>230</v>
      </c>
      <c r="J483" t="s">
        <v>24</v>
      </c>
      <c r="K483" s="8" t="s">
        <v>25</v>
      </c>
      <c r="L483" t="s">
        <v>35</v>
      </c>
      <c r="O483">
        <v>0</v>
      </c>
      <c r="P483">
        <v>1</v>
      </c>
      <c r="Q483">
        <v>0</v>
      </c>
      <c r="R483">
        <v>0</v>
      </c>
      <c r="S483">
        <v>0</v>
      </c>
      <c r="T483">
        <v>0</v>
      </c>
      <c r="U483">
        <v>0</v>
      </c>
      <c r="V483">
        <v>0</v>
      </c>
      <c r="W483" s="8">
        <v>0</v>
      </c>
      <c r="X483">
        <v>0</v>
      </c>
      <c r="Y483">
        <v>0</v>
      </c>
      <c r="Z483" s="8"/>
      <c r="AA483" s="8" t="s">
        <v>471</v>
      </c>
      <c r="AB483" t="s">
        <v>21</v>
      </c>
    </row>
    <row r="484" spans="1:30">
      <c r="A484" s="8">
        <v>2015</v>
      </c>
      <c r="B484" s="8">
        <v>159</v>
      </c>
      <c r="D484" s="8" t="s">
        <v>18</v>
      </c>
      <c r="F484" t="s">
        <v>19</v>
      </c>
      <c r="G484" s="8" t="s">
        <v>22</v>
      </c>
      <c r="H484" t="s">
        <v>24</v>
      </c>
      <c r="I484" s="8" t="s">
        <v>230</v>
      </c>
      <c r="J484" t="s">
        <v>24</v>
      </c>
      <c r="K484" s="8" t="s">
        <v>25</v>
      </c>
      <c r="L484" t="s">
        <v>35</v>
      </c>
      <c r="O484">
        <v>0</v>
      </c>
      <c r="P484">
        <v>1</v>
      </c>
      <c r="Q484">
        <v>1</v>
      </c>
      <c r="R484">
        <v>0</v>
      </c>
      <c r="S484">
        <v>0</v>
      </c>
      <c r="T484">
        <v>0</v>
      </c>
      <c r="U484">
        <v>0</v>
      </c>
      <c r="V484">
        <v>0</v>
      </c>
      <c r="W484" s="8">
        <v>0</v>
      </c>
      <c r="X484">
        <v>0</v>
      </c>
      <c r="Y484">
        <v>0</v>
      </c>
      <c r="Z484" s="8"/>
      <c r="AA484" s="8" t="s">
        <v>471</v>
      </c>
      <c r="AB484" t="s">
        <v>21</v>
      </c>
    </row>
    <row r="485" spans="1:30">
      <c r="A485" s="8">
        <v>2015</v>
      </c>
      <c r="B485" s="8">
        <v>159</v>
      </c>
      <c r="D485" s="8" t="s">
        <v>18</v>
      </c>
      <c r="F485" t="s">
        <v>19</v>
      </c>
      <c r="G485" s="8" t="s">
        <v>191</v>
      </c>
      <c r="H485" t="s">
        <v>194</v>
      </c>
      <c r="I485" s="8" t="s">
        <v>230</v>
      </c>
      <c r="J485" t="s">
        <v>24</v>
      </c>
      <c r="K485" s="8" t="s">
        <v>25</v>
      </c>
      <c r="L485" t="s">
        <v>35</v>
      </c>
      <c r="O485">
        <v>0</v>
      </c>
      <c r="P485">
        <v>1</v>
      </c>
      <c r="Q485">
        <v>0</v>
      </c>
      <c r="R485">
        <v>0</v>
      </c>
      <c r="S485">
        <v>0</v>
      </c>
      <c r="T485">
        <v>0</v>
      </c>
      <c r="U485">
        <v>0</v>
      </c>
      <c r="V485">
        <v>0</v>
      </c>
      <c r="W485" s="8">
        <v>0</v>
      </c>
      <c r="X485">
        <v>0</v>
      </c>
      <c r="Y485">
        <v>0</v>
      </c>
      <c r="Z485" s="8"/>
      <c r="AA485" s="8" t="s">
        <v>471</v>
      </c>
      <c r="AB485" t="s">
        <v>21</v>
      </c>
    </row>
    <row r="486" spans="1:30">
      <c r="A486" s="8">
        <v>2015</v>
      </c>
      <c r="B486" s="8">
        <v>159</v>
      </c>
      <c r="D486" s="8" t="s">
        <v>18</v>
      </c>
      <c r="F486" t="s">
        <v>19</v>
      </c>
      <c r="G486" s="8" t="s">
        <v>192</v>
      </c>
      <c r="H486" t="s">
        <v>195</v>
      </c>
      <c r="I486" s="8" t="s">
        <v>230</v>
      </c>
      <c r="J486" t="s">
        <v>24</v>
      </c>
      <c r="K486" s="8" t="s">
        <v>25</v>
      </c>
      <c r="L486" t="s">
        <v>35</v>
      </c>
      <c r="O486">
        <v>0</v>
      </c>
      <c r="P486">
        <v>1</v>
      </c>
      <c r="Q486">
        <v>0</v>
      </c>
      <c r="R486">
        <v>0</v>
      </c>
      <c r="S486">
        <v>0</v>
      </c>
      <c r="T486">
        <v>0</v>
      </c>
      <c r="U486">
        <v>0</v>
      </c>
      <c r="V486">
        <v>0</v>
      </c>
      <c r="W486" s="8">
        <v>0</v>
      </c>
      <c r="X486">
        <v>0</v>
      </c>
      <c r="Y486">
        <v>0</v>
      </c>
      <c r="Z486" s="8"/>
      <c r="AA486" s="8" t="s">
        <v>471</v>
      </c>
      <c r="AB486" t="s">
        <v>21</v>
      </c>
    </row>
    <row r="487" spans="1:30">
      <c r="A487" s="8">
        <v>2015</v>
      </c>
      <c r="B487" s="8">
        <v>159</v>
      </c>
      <c r="D487" s="8" t="s">
        <v>18</v>
      </c>
      <c r="F487" t="s">
        <v>19</v>
      </c>
      <c r="G487" s="8" t="s">
        <v>60</v>
      </c>
      <c r="H487" t="s">
        <v>61</v>
      </c>
      <c r="I487" s="8" t="s">
        <v>230</v>
      </c>
      <c r="J487" t="s">
        <v>24</v>
      </c>
      <c r="K487" s="8" t="s">
        <v>25</v>
      </c>
      <c r="L487" t="s">
        <v>35</v>
      </c>
      <c r="O487">
        <v>0</v>
      </c>
      <c r="P487">
        <v>1</v>
      </c>
      <c r="Q487">
        <v>0</v>
      </c>
      <c r="R487">
        <v>0</v>
      </c>
      <c r="S487">
        <v>0</v>
      </c>
      <c r="T487">
        <v>0</v>
      </c>
      <c r="U487">
        <v>0</v>
      </c>
      <c r="V487">
        <v>0</v>
      </c>
      <c r="W487" s="8">
        <v>0</v>
      </c>
      <c r="X487">
        <v>0</v>
      </c>
      <c r="Y487">
        <v>0</v>
      </c>
      <c r="Z487" s="8"/>
      <c r="AA487" s="8" t="s">
        <v>471</v>
      </c>
      <c r="AB487" t="s">
        <v>21</v>
      </c>
    </row>
    <row r="488" spans="1:30">
      <c r="A488" s="8">
        <v>2015</v>
      </c>
      <c r="B488" s="8">
        <v>160</v>
      </c>
      <c r="D488" s="8" t="s">
        <v>18</v>
      </c>
      <c r="F488" t="s">
        <v>19</v>
      </c>
      <c r="G488" s="8" t="s">
        <v>35</v>
      </c>
      <c r="I488" s="8" t="s">
        <v>22</v>
      </c>
      <c r="J488" t="s">
        <v>24</v>
      </c>
      <c r="K488" s="8" t="s">
        <v>25</v>
      </c>
      <c r="L488" t="s">
        <v>35</v>
      </c>
      <c r="O488">
        <v>0</v>
      </c>
      <c r="P488">
        <v>0</v>
      </c>
      <c r="Q488">
        <v>1</v>
      </c>
      <c r="R488">
        <v>0</v>
      </c>
      <c r="S488">
        <v>0</v>
      </c>
      <c r="T488">
        <v>0</v>
      </c>
      <c r="U488">
        <v>0</v>
      </c>
      <c r="V488">
        <v>0</v>
      </c>
      <c r="W488" s="8">
        <v>1</v>
      </c>
      <c r="X488">
        <v>0</v>
      </c>
      <c r="Y488">
        <v>1</v>
      </c>
      <c r="Z488" s="8" t="s">
        <v>164</v>
      </c>
      <c r="AA488" s="8" t="s">
        <v>472</v>
      </c>
      <c r="AB488" t="s">
        <v>21</v>
      </c>
    </row>
    <row r="489" spans="1:30">
      <c r="A489" s="8">
        <v>2015</v>
      </c>
      <c r="B489" s="8">
        <v>160</v>
      </c>
      <c r="D489" s="8" t="s">
        <v>18</v>
      </c>
      <c r="F489" t="s">
        <v>19</v>
      </c>
      <c r="G489" s="8" t="s">
        <v>152</v>
      </c>
      <c r="H489" t="s">
        <v>184</v>
      </c>
      <c r="I489" s="8" t="s">
        <v>22</v>
      </c>
      <c r="J489" t="s">
        <v>24</v>
      </c>
      <c r="K489" s="8" t="s">
        <v>25</v>
      </c>
      <c r="L489" t="s">
        <v>35</v>
      </c>
      <c r="O489">
        <v>0</v>
      </c>
      <c r="P489">
        <v>0</v>
      </c>
      <c r="Q489">
        <v>0</v>
      </c>
      <c r="R489">
        <v>0</v>
      </c>
      <c r="S489">
        <v>0</v>
      </c>
      <c r="T489">
        <v>0</v>
      </c>
      <c r="U489">
        <v>0</v>
      </c>
      <c r="V489">
        <v>0</v>
      </c>
      <c r="W489" s="8">
        <v>1</v>
      </c>
      <c r="X489">
        <v>0</v>
      </c>
      <c r="Y489">
        <v>1</v>
      </c>
      <c r="Z489" s="8" t="s">
        <v>164</v>
      </c>
      <c r="AA489" s="8" t="s">
        <v>472</v>
      </c>
      <c r="AB489" t="s">
        <v>21</v>
      </c>
    </row>
    <row r="490" spans="1:30">
      <c r="A490" s="8">
        <v>2015</v>
      </c>
      <c r="B490" s="8">
        <v>160</v>
      </c>
      <c r="D490" s="8" t="s">
        <v>18</v>
      </c>
      <c r="F490" t="s">
        <v>19</v>
      </c>
      <c r="G490" s="8" t="s">
        <v>22</v>
      </c>
      <c r="H490" t="s">
        <v>24</v>
      </c>
      <c r="I490" s="8" t="s">
        <v>22</v>
      </c>
      <c r="J490" t="s">
        <v>24</v>
      </c>
      <c r="K490" s="8" t="s">
        <v>25</v>
      </c>
      <c r="L490" t="s">
        <v>35</v>
      </c>
      <c r="O490">
        <v>0</v>
      </c>
      <c r="P490">
        <v>0</v>
      </c>
      <c r="Q490">
        <v>1</v>
      </c>
      <c r="R490">
        <v>0</v>
      </c>
      <c r="S490">
        <v>0</v>
      </c>
      <c r="T490">
        <v>0</v>
      </c>
      <c r="U490">
        <v>0</v>
      </c>
      <c r="V490">
        <v>0</v>
      </c>
      <c r="W490" s="8">
        <v>1</v>
      </c>
      <c r="X490">
        <v>0</v>
      </c>
      <c r="Y490">
        <v>1</v>
      </c>
      <c r="Z490" s="8" t="s">
        <v>164</v>
      </c>
      <c r="AA490" s="8" t="s">
        <v>472</v>
      </c>
      <c r="AB490" t="s">
        <v>21</v>
      </c>
    </row>
    <row r="491" spans="1:30">
      <c r="A491" s="8">
        <v>2015</v>
      </c>
      <c r="B491" s="8">
        <v>160</v>
      </c>
      <c r="D491" s="8" t="s">
        <v>18</v>
      </c>
      <c r="F491" t="s">
        <v>19</v>
      </c>
      <c r="G491" s="8" t="s">
        <v>191</v>
      </c>
      <c r="H491" t="s">
        <v>194</v>
      </c>
      <c r="I491" s="8" t="s">
        <v>22</v>
      </c>
      <c r="J491" t="s">
        <v>24</v>
      </c>
      <c r="K491" s="8" t="s">
        <v>25</v>
      </c>
      <c r="L491" t="s">
        <v>35</v>
      </c>
      <c r="O491">
        <v>0</v>
      </c>
      <c r="P491">
        <v>0</v>
      </c>
      <c r="Q491">
        <v>0</v>
      </c>
      <c r="R491">
        <v>0</v>
      </c>
      <c r="S491">
        <v>0</v>
      </c>
      <c r="T491">
        <v>0</v>
      </c>
      <c r="U491">
        <v>0</v>
      </c>
      <c r="V491">
        <v>0</v>
      </c>
      <c r="W491" s="8">
        <v>1</v>
      </c>
      <c r="X491">
        <v>0</v>
      </c>
      <c r="Y491">
        <v>1</v>
      </c>
      <c r="Z491" s="8" t="s">
        <v>164</v>
      </c>
      <c r="AA491" s="8" t="s">
        <v>472</v>
      </c>
      <c r="AB491" t="s">
        <v>21</v>
      </c>
    </row>
    <row r="492" spans="1:30">
      <c r="A492" s="8">
        <v>2015</v>
      </c>
      <c r="B492" s="8">
        <v>160</v>
      </c>
      <c r="D492" s="8" t="s">
        <v>18</v>
      </c>
      <c r="F492" t="s">
        <v>19</v>
      </c>
      <c r="G492" s="8" t="s">
        <v>192</v>
      </c>
      <c r="H492" t="s">
        <v>195</v>
      </c>
      <c r="I492" s="8" t="s">
        <v>22</v>
      </c>
      <c r="J492" t="s">
        <v>24</v>
      </c>
      <c r="K492" s="8" t="s">
        <v>25</v>
      </c>
      <c r="L492" t="s">
        <v>35</v>
      </c>
      <c r="O492">
        <v>0</v>
      </c>
      <c r="P492">
        <v>0</v>
      </c>
      <c r="Q492">
        <v>0</v>
      </c>
      <c r="R492">
        <v>0</v>
      </c>
      <c r="S492">
        <v>0</v>
      </c>
      <c r="T492">
        <v>0</v>
      </c>
      <c r="U492">
        <v>0</v>
      </c>
      <c r="V492">
        <v>0</v>
      </c>
      <c r="W492" s="8">
        <v>1</v>
      </c>
      <c r="X492">
        <v>0</v>
      </c>
      <c r="Y492">
        <v>1</v>
      </c>
      <c r="Z492" s="8" t="s">
        <v>164</v>
      </c>
      <c r="AA492" s="8" t="s">
        <v>472</v>
      </c>
      <c r="AB492" t="s">
        <v>21</v>
      </c>
    </row>
    <row r="493" spans="1:30">
      <c r="A493" s="8">
        <v>2015</v>
      </c>
      <c r="B493" s="8">
        <v>160</v>
      </c>
      <c r="D493" s="8" t="s">
        <v>18</v>
      </c>
      <c r="F493" t="s">
        <v>19</v>
      </c>
      <c r="G493" s="8" t="s">
        <v>60</v>
      </c>
      <c r="H493" t="s">
        <v>61</v>
      </c>
      <c r="I493" s="8" t="s">
        <v>22</v>
      </c>
      <c r="J493" t="s">
        <v>24</v>
      </c>
      <c r="K493" s="8" t="s">
        <v>25</v>
      </c>
      <c r="L493" t="s">
        <v>35</v>
      </c>
      <c r="O493">
        <v>0</v>
      </c>
      <c r="P493">
        <v>0</v>
      </c>
      <c r="Q493">
        <v>0</v>
      </c>
      <c r="R493">
        <v>0</v>
      </c>
      <c r="S493">
        <v>0</v>
      </c>
      <c r="T493">
        <v>0</v>
      </c>
      <c r="U493">
        <v>0</v>
      </c>
      <c r="V493">
        <v>0</v>
      </c>
      <c r="W493" s="8">
        <v>1</v>
      </c>
      <c r="X493">
        <v>0</v>
      </c>
      <c r="Y493">
        <v>1</v>
      </c>
      <c r="Z493" s="8" t="s">
        <v>164</v>
      </c>
      <c r="AA493" s="8" t="s">
        <v>472</v>
      </c>
      <c r="AB493" t="s">
        <v>21</v>
      </c>
    </row>
    <row r="494" spans="1:30">
      <c r="A494" s="8">
        <v>2015</v>
      </c>
      <c r="B494" s="8">
        <v>161</v>
      </c>
      <c r="D494" s="8" t="s">
        <v>18</v>
      </c>
      <c r="F494" t="s">
        <v>19</v>
      </c>
      <c r="G494" s="8" t="s">
        <v>35</v>
      </c>
      <c r="I494" s="8" t="s">
        <v>22</v>
      </c>
      <c r="J494" t="s">
        <v>24</v>
      </c>
      <c r="K494" s="8" t="s">
        <v>25</v>
      </c>
      <c r="L494" t="s">
        <v>35</v>
      </c>
      <c r="O494">
        <v>0</v>
      </c>
      <c r="P494">
        <v>1</v>
      </c>
      <c r="Q494">
        <v>1</v>
      </c>
      <c r="R494">
        <v>0</v>
      </c>
      <c r="S494">
        <v>1</v>
      </c>
      <c r="T494">
        <v>0</v>
      </c>
      <c r="U494">
        <v>0</v>
      </c>
      <c r="V494">
        <v>0</v>
      </c>
      <c r="W494" s="8">
        <v>0</v>
      </c>
      <c r="X494">
        <v>0</v>
      </c>
      <c r="Y494">
        <v>0</v>
      </c>
      <c r="Z494" s="8"/>
      <c r="AA494" s="8" t="s">
        <v>473</v>
      </c>
      <c r="AB494" t="s">
        <v>21</v>
      </c>
    </row>
    <row r="495" spans="1:30">
      <c r="A495" s="8">
        <v>2015</v>
      </c>
      <c r="B495" s="8">
        <v>161</v>
      </c>
      <c r="D495" s="8" t="s">
        <v>18</v>
      </c>
      <c r="F495" t="s">
        <v>19</v>
      </c>
      <c r="G495" s="8" t="s">
        <v>152</v>
      </c>
      <c r="H495" t="s">
        <v>184</v>
      </c>
      <c r="I495" s="8" t="s">
        <v>22</v>
      </c>
      <c r="J495" t="s">
        <v>24</v>
      </c>
      <c r="K495" s="8" t="s">
        <v>25</v>
      </c>
      <c r="L495" t="s">
        <v>35</v>
      </c>
      <c r="O495">
        <v>0</v>
      </c>
      <c r="P495">
        <v>1</v>
      </c>
      <c r="Q495">
        <v>0</v>
      </c>
      <c r="R495">
        <v>0</v>
      </c>
      <c r="S495">
        <v>0</v>
      </c>
      <c r="T495">
        <v>0</v>
      </c>
      <c r="U495">
        <v>0</v>
      </c>
      <c r="V495">
        <v>0</v>
      </c>
      <c r="W495" s="8">
        <v>0</v>
      </c>
      <c r="X495">
        <v>0</v>
      </c>
      <c r="Y495">
        <v>0</v>
      </c>
      <c r="Z495" s="8"/>
      <c r="AA495" s="8" t="s">
        <v>473</v>
      </c>
      <c r="AB495" t="s">
        <v>21</v>
      </c>
    </row>
    <row r="496" spans="1:30">
      <c r="A496" s="8">
        <v>2015</v>
      </c>
      <c r="B496" s="8">
        <v>161</v>
      </c>
      <c r="D496" s="8" t="s">
        <v>18</v>
      </c>
      <c r="F496" t="s">
        <v>19</v>
      </c>
      <c r="G496" s="8" t="s">
        <v>22</v>
      </c>
      <c r="H496" t="s">
        <v>24</v>
      </c>
      <c r="I496" s="8" t="s">
        <v>22</v>
      </c>
      <c r="J496" t="s">
        <v>24</v>
      </c>
      <c r="K496" s="8" t="s">
        <v>25</v>
      </c>
      <c r="L496" t="s">
        <v>35</v>
      </c>
      <c r="O496">
        <v>0</v>
      </c>
      <c r="P496">
        <v>1</v>
      </c>
      <c r="Q496">
        <v>1</v>
      </c>
      <c r="R496">
        <v>0</v>
      </c>
      <c r="S496">
        <v>0</v>
      </c>
      <c r="T496">
        <v>0</v>
      </c>
      <c r="U496">
        <v>0</v>
      </c>
      <c r="V496">
        <v>0</v>
      </c>
      <c r="W496" s="8">
        <v>0</v>
      </c>
      <c r="X496">
        <v>0</v>
      </c>
      <c r="Y496">
        <v>0</v>
      </c>
      <c r="Z496" s="8"/>
      <c r="AA496" s="8" t="s">
        <v>473</v>
      </c>
      <c r="AB496" t="s">
        <v>21</v>
      </c>
    </row>
    <row r="497" spans="1:28">
      <c r="A497" s="8">
        <v>2015</v>
      </c>
      <c r="B497" s="8">
        <v>161</v>
      </c>
      <c r="D497" s="8" t="s">
        <v>18</v>
      </c>
      <c r="F497" t="s">
        <v>19</v>
      </c>
      <c r="G497" s="8" t="s">
        <v>191</v>
      </c>
      <c r="H497" t="s">
        <v>194</v>
      </c>
      <c r="I497" s="8" t="s">
        <v>22</v>
      </c>
      <c r="J497" t="s">
        <v>24</v>
      </c>
      <c r="K497" s="8" t="s">
        <v>25</v>
      </c>
      <c r="L497" t="s">
        <v>35</v>
      </c>
      <c r="O497">
        <v>0</v>
      </c>
      <c r="P497">
        <v>1</v>
      </c>
      <c r="Q497">
        <v>0</v>
      </c>
      <c r="R497">
        <v>0</v>
      </c>
      <c r="S497">
        <v>0</v>
      </c>
      <c r="T497">
        <v>0</v>
      </c>
      <c r="U497">
        <v>0</v>
      </c>
      <c r="V497">
        <v>0</v>
      </c>
      <c r="W497" s="8">
        <v>0</v>
      </c>
      <c r="X497">
        <v>0</v>
      </c>
      <c r="Y497">
        <v>0</v>
      </c>
      <c r="Z497" s="8"/>
      <c r="AA497" s="8" t="s">
        <v>473</v>
      </c>
      <c r="AB497" t="s">
        <v>21</v>
      </c>
    </row>
    <row r="498" spans="1:28">
      <c r="A498" s="8">
        <v>2015</v>
      </c>
      <c r="B498" s="8">
        <v>161</v>
      </c>
      <c r="D498" s="8" t="s">
        <v>18</v>
      </c>
      <c r="F498" t="s">
        <v>19</v>
      </c>
      <c r="G498" s="8" t="s">
        <v>192</v>
      </c>
      <c r="H498" t="s">
        <v>195</v>
      </c>
      <c r="I498" s="8" t="s">
        <v>22</v>
      </c>
      <c r="J498" t="s">
        <v>24</v>
      </c>
      <c r="K498" s="8" t="s">
        <v>25</v>
      </c>
      <c r="L498" t="s">
        <v>35</v>
      </c>
      <c r="O498">
        <v>0</v>
      </c>
      <c r="P498">
        <v>1</v>
      </c>
      <c r="Q498">
        <v>0</v>
      </c>
      <c r="R498">
        <v>0</v>
      </c>
      <c r="S498">
        <v>0</v>
      </c>
      <c r="T498">
        <v>0</v>
      </c>
      <c r="U498">
        <v>0</v>
      </c>
      <c r="V498">
        <v>0</v>
      </c>
      <c r="W498" s="8">
        <v>0</v>
      </c>
      <c r="X498">
        <v>0</v>
      </c>
      <c r="Y498">
        <v>0</v>
      </c>
      <c r="Z498" s="8"/>
      <c r="AA498" s="8" t="s">
        <v>473</v>
      </c>
      <c r="AB498" t="s">
        <v>21</v>
      </c>
    </row>
    <row r="499" spans="1:28">
      <c r="A499" s="8">
        <v>2015</v>
      </c>
      <c r="B499" s="8">
        <v>161</v>
      </c>
      <c r="D499" s="8" t="s">
        <v>18</v>
      </c>
      <c r="F499" t="s">
        <v>19</v>
      </c>
      <c r="G499" s="8" t="s">
        <v>60</v>
      </c>
      <c r="H499" t="s">
        <v>61</v>
      </c>
      <c r="I499" s="8" t="s">
        <v>22</v>
      </c>
      <c r="J499" t="s">
        <v>24</v>
      </c>
      <c r="K499" s="8" t="s">
        <v>25</v>
      </c>
      <c r="L499" t="s">
        <v>35</v>
      </c>
      <c r="O499">
        <v>0</v>
      </c>
      <c r="P499">
        <v>1</v>
      </c>
      <c r="Q499">
        <v>0</v>
      </c>
      <c r="R499">
        <v>0</v>
      </c>
      <c r="S499">
        <v>0</v>
      </c>
      <c r="T499">
        <v>0</v>
      </c>
      <c r="U499">
        <v>0</v>
      </c>
      <c r="V499">
        <v>0</v>
      </c>
      <c r="W499" s="8">
        <v>0</v>
      </c>
      <c r="X499">
        <v>0</v>
      </c>
      <c r="Y499">
        <v>0</v>
      </c>
      <c r="Z499" s="8"/>
      <c r="AA499" s="8" t="s">
        <v>473</v>
      </c>
      <c r="AB499" t="s">
        <v>21</v>
      </c>
    </row>
    <row r="500" spans="1:28">
      <c r="A500" s="8">
        <v>2015</v>
      </c>
      <c r="B500" s="8">
        <v>161</v>
      </c>
      <c r="D500" s="8" t="s">
        <v>18</v>
      </c>
      <c r="F500" t="s">
        <v>19</v>
      </c>
      <c r="G500" s="8" t="s">
        <v>26</v>
      </c>
      <c r="I500" s="8" t="s">
        <v>22</v>
      </c>
      <c r="J500" t="s">
        <v>24</v>
      </c>
      <c r="K500" s="8" t="s">
        <v>25</v>
      </c>
      <c r="L500" t="s">
        <v>35</v>
      </c>
      <c r="O500">
        <v>0</v>
      </c>
      <c r="P500">
        <v>0</v>
      </c>
      <c r="Q500">
        <v>0</v>
      </c>
      <c r="R500">
        <v>0</v>
      </c>
      <c r="S500">
        <v>1</v>
      </c>
      <c r="T500">
        <v>0</v>
      </c>
      <c r="U500">
        <v>0</v>
      </c>
      <c r="V500">
        <v>0</v>
      </c>
      <c r="W500" s="8">
        <v>0</v>
      </c>
      <c r="X500">
        <v>0</v>
      </c>
      <c r="Y500">
        <v>0</v>
      </c>
      <c r="Z500" s="8"/>
      <c r="AA500" s="8" t="s">
        <v>473</v>
      </c>
      <c r="AB500" t="s">
        <v>21</v>
      </c>
    </row>
    <row r="501" spans="1:28">
      <c r="A501" s="8">
        <v>2015</v>
      </c>
      <c r="B501" s="8">
        <v>360</v>
      </c>
      <c r="D501" s="8" t="s">
        <v>18</v>
      </c>
      <c r="F501" t="s">
        <v>19</v>
      </c>
      <c r="G501" s="8" t="s">
        <v>152</v>
      </c>
      <c r="I501" s="8" t="s">
        <v>152</v>
      </c>
      <c r="J501" t="s">
        <v>184</v>
      </c>
      <c r="K501" s="8" t="s">
        <v>65</v>
      </c>
      <c r="L501" t="s">
        <v>152</v>
      </c>
      <c r="O501">
        <v>1</v>
      </c>
      <c r="P501">
        <v>0</v>
      </c>
      <c r="Q501">
        <v>1</v>
      </c>
      <c r="R501">
        <v>0</v>
      </c>
      <c r="S501">
        <v>0</v>
      </c>
      <c r="T501">
        <v>0</v>
      </c>
      <c r="U501">
        <v>0</v>
      </c>
      <c r="V501">
        <v>0</v>
      </c>
      <c r="W501" s="8">
        <v>0</v>
      </c>
      <c r="X501">
        <v>0</v>
      </c>
      <c r="Y501">
        <v>0</v>
      </c>
      <c r="Z501" s="8"/>
      <c r="AA501" s="8" t="s">
        <v>474</v>
      </c>
      <c r="AB501" t="s">
        <v>21</v>
      </c>
    </row>
    <row r="502" spans="1:28">
      <c r="A502" s="8">
        <v>2015</v>
      </c>
      <c r="B502" s="8">
        <v>162</v>
      </c>
      <c r="D502" s="8" t="s">
        <v>18</v>
      </c>
      <c r="F502" t="s">
        <v>19</v>
      </c>
      <c r="G502" s="8" t="s">
        <v>35</v>
      </c>
      <c r="I502" s="8" t="s">
        <v>22</v>
      </c>
      <c r="J502" t="s">
        <v>24</v>
      </c>
      <c r="K502" s="8" t="s">
        <v>41</v>
      </c>
      <c r="L502" t="s">
        <v>35</v>
      </c>
      <c r="O502">
        <v>1</v>
      </c>
      <c r="P502">
        <v>1</v>
      </c>
      <c r="Q502">
        <v>1</v>
      </c>
      <c r="R502">
        <v>1</v>
      </c>
      <c r="S502">
        <v>0</v>
      </c>
      <c r="T502">
        <v>0</v>
      </c>
      <c r="U502">
        <v>0</v>
      </c>
      <c r="V502">
        <v>0</v>
      </c>
      <c r="W502" s="8">
        <v>0</v>
      </c>
      <c r="X502">
        <v>0</v>
      </c>
      <c r="Y502">
        <v>0</v>
      </c>
      <c r="Z502" s="8"/>
      <c r="AA502" s="8" t="s">
        <v>475</v>
      </c>
      <c r="AB502" t="s">
        <v>21</v>
      </c>
    </row>
    <row r="503" spans="1:28">
      <c r="A503" s="8">
        <v>2015</v>
      </c>
      <c r="B503" s="8">
        <v>162</v>
      </c>
      <c r="D503" s="8" t="s">
        <v>18</v>
      </c>
      <c r="F503" t="s">
        <v>19</v>
      </c>
      <c r="G503" s="8" t="s">
        <v>152</v>
      </c>
      <c r="H503" t="s">
        <v>184</v>
      </c>
      <c r="I503" s="8" t="s">
        <v>22</v>
      </c>
      <c r="J503" t="s">
        <v>24</v>
      </c>
      <c r="K503" s="8" t="s">
        <v>41</v>
      </c>
      <c r="L503" t="s">
        <v>35</v>
      </c>
      <c r="O503">
        <v>1</v>
      </c>
      <c r="P503">
        <v>1</v>
      </c>
      <c r="Q503">
        <v>0</v>
      </c>
      <c r="R503">
        <v>1</v>
      </c>
      <c r="S503">
        <v>0</v>
      </c>
      <c r="T503">
        <v>0</v>
      </c>
      <c r="U503">
        <v>0</v>
      </c>
      <c r="V503">
        <v>0</v>
      </c>
      <c r="W503" s="8">
        <v>0</v>
      </c>
      <c r="X503">
        <v>0</v>
      </c>
      <c r="Y503">
        <v>0</v>
      </c>
      <c r="Z503" s="8"/>
      <c r="AA503" s="8" t="s">
        <v>475</v>
      </c>
      <c r="AB503" t="s">
        <v>21</v>
      </c>
    </row>
    <row r="504" spans="1:28">
      <c r="A504" s="8">
        <v>2015</v>
      </c>
      <c r="B504" s="8">
        <v>162</v>
      </c>
      <c r="D504" s="8" t="s">
        <v>18</v>
      </c>
      <c r="F504" t="s">
        <v>19</v>
      </c>
      <c r="G504" s="8" t="s">
        <v>22</v>
      </c>
      <c r="H504" t="s">
        <v>24</v>
      </c>
      <c r="I504" s="8" t="s">
        <v>22</v>
      </c>
      <c r="J504" t="s">
        <v>24</v>
      </c>
      <c r="K504" s="8" t="s">
        <v>41</v>
      </c>
      <c r="L504" t="s">
        <v>35</v>
      </c>
      <c r="O504">
        <v>1</v>
      </c>
      <c r="P504">
        <v>1</v>
      </c>
      <c r="Q504">
        <v>1</v>
      </c>
      <c r="R504">
        <v>1</v>
      </c>
      <c r="S504">
        <v>0</v>
      </c>
      <c r="T504">
        <v>0</v>
      </c>
      <c r="U504">
        <v>0</v>
      </c>
      <c r="V504">
        <v>0</v>
      </c>
      <c r="W504" s="8">
        <v>0</v>
      </c>
      <c r="X504">
        <v>0</v>
      </c>
      <c r="Y504">
        <v>0</v>
      </c>
      <c r="Z504" s="8"/>
      <c r="AA504" s="8" t="s">
        <v>475</v>
      </c>
      <c r="AB504" t="s">
        <v>21</v>
      </c>
    </row>
    <row r="505" spans="1:28">
      <c r="A505" s="8">
        <v>2015</v>
      </c>
      <c r="B505" s="8">
        <v>162</v>
      </c>
      <c r="D505" s="8" t="s">
        <v>18</v>
      </c>
      <c r="F505" t="s">
        <v>19</v>
      </c>
      <c r="G505" s="8" t="s">
        <v>191</v>
      </c>
      <c r="H505" t="s">
        <v>194</v>
      </c>
      <c r="I505" s="8" t="s">
        <v>22</v>
      </c>
      <c r="J505" t="s">
        <v>24</v>
      </c>
      <c r="K505" s="8" t="s">
        <v>41</v>
      </c>
      <c r="L505" t="s">
        <v>35</v>
      </c>
      <c r="O505">
        <v>1</v>
      </c>
      <c r="P505">
        <v>1</v>
      </c>
      <c r="Q505">
        <v>0</v>
      </c>
      <c r="R505">
        <v>1</v>
      </c>
      <c r="S505">
        <v>0</v>
      </c>
      <c r="T505">
        <v>0</v>
      </c>
      <c r="U505">
        <v>0</v>
      </c>
      <c r="V505">
        <v>0</v>
      </c>
      <c r="W505" s="8">
        <v>0</v>
      </c>
      <c r="X505">
        <v>0</v>
      </c>
      <c r="Y505">
        <v>0</v>
      </c>
      <c r="Z505" s="8"/>
      <c r="AA505" s="8" t="s">
        <v>475</v>
      </c>
      <c r="AB505" t="s">
        <v>21</v>
      </c>
    </row>
    <row r="506" spans="1:28">
      <c r="A506" s="8">
        <v>2015</v>
      </c>
      <c r="B506" s="8">
        <v>162</v>
      </c>
      <c r="D506" s="8" t="s">
        <v>18</v>
      </c>
      <c r="F506" t="s">
        <v>19</v>
      </c>
      <c r="G506" s="8" t="s">
        <v>192</v>
      </c>
      <c r="H506" t="s">
        <v>195</v>
      </c>
      <c r="I506" s="8" t="s">
        <v>22</v>
      </c>
      <c r="J506" t="s">
        <v>24</v>
      </c>
      <c r="K506" s="8" t="s">
        <v>41</v>
      </c>
      <c r="L506" t="s">
        <v>35</v>
      </c>
      <c r="O506">
        <v>1</v>
      </c>
      <c r="P506">
        <v>1</v>
      </c>
      <c r="Q506">
        <v>0</v>
      </c>
      <c r="R506">
        <v>1</v>
      </c>
      <c r="S506">
        <v>0</v>
      </c>
      <c r="T506">
        <v>0</v>
      </c>
      <c r="U506">
        <v>0</v>
      </c>
      <c r="V506">
        <v>0</v>
      </c>
      <c r="W506" s="8">
        <v>0</v>
      </c>
      <c r="X506">
        <v>0</v>
      </c>
      <c r="Y506">
        <v>0</v>
      </c>
      <c r="Z506" s="8"/>
      <c r="AA506" s="8" t="s">
        <v>475</v>
      </c>
      <c r="AB506" t="s">
        <v>21</v>
      </c>
    </row>
    <row r="507" spans="1:28">
      <c r="A507" s="8">
        <v>2015</v>
      </c>
      <c r="B507" s="8">
        <v>162</v>
      </c>
      <c r="D507" s="8" t="s">
        <v>18</v>
      </c>
      <c r="F507" t="s">
        <v>19</v>
      </c>
      <c r="G507" s="8" t="s">
        <v>60</v>
      </c>
      <c r="H507" t="s">
        <v>61</v>
      </c>
      <c r="I507" s="8" t="s">
        <v>22</v>
      </c>
      <c r="J507" t="s">
        <v>24</v>
      </c>
      <c r="K507" s="8" t="s">
        <v>41</v>
      </c>
      <c r="L507" t="s">
        <v>35</v>
      </c>
      <c r="O507">
        <v>1</v>
      </c>
      <c r="P507">
        <v>1</v>
      </c>
      <c r="Q507">
        <v>0</v>
      </c>
      <c r="R507">
        <v>1</v>
      </c>
      <c r="S507">
        <v>0</v>
      </c>
      <c r="T507">
        <v>0</v>
      </c>
      <c r="U507">
        <v>0</v>
      </c>
      <c r="V507">
        <v>0</v>
      </c>
      <c r="W507" s="8">
        <v>0</v>
      </c>
      <c r="X507">
        <v>0</v>
      </c>
      <c r="Y507">
        <v>0</v>
      </c>
      <c r="Z507" s="8"/>
      <c r="AA507" s="8" t="s">
        <v>475</v>
      </c>
      <c r="AB507" t="s">
        <v>21</v>
      </c>
    </row>
    <row r="508" spans="1:28">
      <c r="A508" s="8">
        <v>2015</v>
      </c>
      <c r="B508" s="8">
        <v>162</v>
      </c>
      <c r="D508" s="8" t="s">
        <v>18</v>
      </c>
      <c r="F508" t="s">
        <v>19</v>
      </c>
      <c r="G508" s="8" t="s">
        <v>37</v>
      </c>
      <c r="I508" s="8" t="s">
        <v>22</v>
      </c>
      <c r="J508" t="s">
        <v>24</v>
      </c>
      <c r="K508" s="8" t="s">
        <v>41</v>
      </c>
      <c r="L508" t="s">
        <v>35</v>
      </c>
      <c r="O508">
        <v>1</v>
      </c>
      <c r="P508">
        <v>1</v>
      </c>
      <c r="Q508">
        <v>0</v>
      </c>
      <c r="R508">
        <v>1</v>
      </c>
      <c r="S508">
        <v>0</v>
      </c>
      <c r="T508">
        <v>0</v>
      </c>
      <c r="U508">
        <v>0</v>
      </c>
      <c r="V508">
        <v>0</v>
      </c>
      <c r="W508" s="8">
        <v>0</v>
      </c>
      <c r="X508">
        <v>0</v>
      </c>
      <c r="Y508">
        <v>0</v>
      </c>
      <c r="Z508" s="8"/>
      <c r="AA508" s="8" t="s">
        <v>475</v>
      </c>
      <c r="AB508" t="s">
        <v>21</v>
      </c>
    </row>
    <row r="509" spans="1:28">
      <c r="A509" s="8">
        <v>2015</v>
      </c>
      <c r="B509" s="8">
        <v>162</v>
      </c>
      <c r="D509" s="8" t="s">
        <v>18</v>
      </c>
      <c r="F509" t="s">
        <v>19</v>
      </c>
      <c r="G509" s="8" t="s">
        <v>202</v>
      </c>
      <c r="H509" t="s">
        <v>205</v>
      </c>
      <c r="I509" s="8" t="s">
        <v>22</v>
      </c>
      <c r="J509" t="s">
        <v>24</v>
      </c>
      <c r="K509" s="8" t="s">
        <v>41</v>
      </c>
      <c r="L509" t="s">
        <v>35</v>
      </c>
      <c r="O509">
        <v>1</v>
      </c>
      <c r="P509">
        <v>1</v>
      </c>
      <c r="Q509">
        <v>0</v>
      </c>
      <c r="R509">
        <v>1</v>
      </c>
      <c r="S509">
        <v>0</v>
      </c>
      <c r="T509">
        <v>0</v>
      </c>
      <c r="U509">
        <v>0</v>
      </c>
      <c r="V509">
        <v>0</v>
      </c>
      <c r="W509" s="8">
        <v>0</v>
      </c>
      <c r="X509">
        <v>0</v>
      </c>
      <c r="Y509">
        <v>0</v>
      </c>
      <c r="Z509" s="8"/>
      <c r="AA509" s="8" t="s">
        <v>475</v>
      </c>
      <c r="AB509" t="s">
        <v>21</v>
      </c>
    </row>
    <row r="510" spans="1:28">
      <c r="A510" s="8">
        <v>2015</v>
      </c>
      <c r="B510" s="8">
        <v>162</v>
      </c>
      <c r="D510" s="8" t="s">
        <v>18</v>
      </c>
      <c r="F510" t="s">
        <v>19</v>
      </c>
      <c r="G510" s="8" t="s">
        <v>193</v>
      </c>
      <c r="H510" t="s">
        <v>185</v>
      </c>
      <c r="I510" s="8" t="s">
        <v>22</v>
      </c>
      <c r="J510" t="s">
        <v>24</v>
      </c>
      <c r="K510" s="8" t="s">
        <v>41</v>
      </c>
      <c r="L510" t="s">
        <v>35</v>
      </c>
      <c r="O510">
        <v>1</v>
      </c>
      <c r="P510">
        <v>1</v>
      </c>
      <c r="Q510">
        <v>0</v>
      </c>
      <c r="R510">
        <v>1</v>
      </c>
      <c r="S510">
        <v>0</v>
      </c>
      <c r="T510">
        <v>0</v>
      </c>
      <c r="U510">
        <v>0</v>
      </c>
      <c r="V510">
        <v>0</v>
      </c>
      <c r="W510" s="8">
        <v>0</v>
      </c>
      <c r="X510">
        <v>0</v>
      </c>
      <c r="Y510">
        <v>0</v>
      </c>
      <c r="Z510" s="8"/>
      <c r="AA510" s="8" t="s">
        <v>475</v>
      </c>
      <c r="AB510" t="s">
        <v>21</v>
      </c>
    </row>
    <row r="511" spans="1:28">
      <c r="A511" s="8">
        <v>2015</v>
      </c>
      <c r="B511" s="8">
        <v>162</v>
      </c>
      <c r="D511" s="8" t="s">
        <v>18</v>
      </c>
      <c r="F511" t="s">
        <v>19</v>
      </c>
      <c r="G511" s="8" t="s">
        <v>161</v>
      </c>
      <c r="I511" s="8" t="s">
        <v>22</v>
      </c>
      <c r="J511" t="s">
        <v>24</v>
      </c>
      <c r="K511" s="8" t="s">
        <v>41</v>
      </c>
      <c r="L511" t="s">
        <v>35</v>
      </c>
      <c r="O511">
        <v>1</v>
      </c>
      <c r="P511">
        <v>1</v>
      </c>
      <c r="Q511">
        <v>0</v>
      </c>
      <c r="R511">
        <v>1</v>
      </c>
      <c r="S511">
        <v>0</v>
      </c>
      <c r="T511">
        <v>0</v>
      </c>
      <c r="U511">
        <v>0</v>
      </c>
      <c r="V511">
        <v>0</v>
      </c>
      <c r="W511" s="8">
        <v>0</v>
      </c>
      <c r="X511">
        <v>0</v>
      </c>
      <c r="Y511">
        <v>0</v>
      </c>
      <c r="Z511" s="8"/>
      <c r="AA511" s="8" t="s">
        <v>475</v>
      </c>
      <c r="AB511" t="s">
        <v>21</v>
      </c>
    </row>
    <row r="512" spans="1:28">
      <c r="A512" s="8">
        <v>2015</v>
      </c>
      <c r="B512" s="8">
        <v>162</v>
      </c>
      <c r="D512" s="8" t="s">
        <v>18</v>
      </c>
      <c r="F512" t="s">
        <v>19</v>
      </c>
      <c r="G512" s="8" t="s">
        <v>203</v>
      </c>
      <c r="H512" t="s">
        <v>206</v>
      </c>
      <c r="I512" s="8" t="s">
        <v>22</v>
      </c>
      <c r="J512" t="s">
        <v>24</v>
      </c>
      <c r="K512" s="8" t="s">
        <v>41</v>
      </c>
      <c r="L512" t="s">
        <v>35</v>
      </c>
      <c r="O512">
        <v>1</v>
      </c>
      <c r="P512">
        <v>1</v>
      </c>
      <c r="Q512">
        <v>0</v>
      </c>
      <c r="R512">
        <v>1</v>
      </c>
      <c r="S512">
        <v>0</v>
      </c>
      <c r="T512">
        <v>0</v>
      </c>
      <c r="U512">
        <v>0</v>
      </c>
      <c r="V512">
        <v>0</v>
      </c>
      <c r="W512" s="8">
        <v>0</v>
      </c>
      <c r="X512">
        <v>0</v>
      </c>
      <c r="Y512">
        <v>0</v>
      </c>
      <c r="Z512" s="8"/>
      <c r="AA512" s="8" t="s">
        <v>475</v>
      </c>
      <c r="AB512" t="s">
        <v>21</v>
      </c>
    </row>
    <row r="513" spans="1:30">
      <c r="A513" s="8">
        <v>2015</v>
      </c>
      <c r="B513" s="8">
        <v>162</v>
      </c>
      <c r="D513" s="8" t="s">
        <v>18</v>
      </c>
      <c r="F513" t="s">
        <v>19</v>
      </c>
      <c r="G513" s="8" t="s">
        <v>249</v>
      </c>
      <c r="H513" t="s">
        <v>250</v>
      </c>
      <c r="I513" s="8" t="s">
        <v>22</v>
      </c>
      <c r="J513" t="s">
        <v>24</v>
      </c>
      <c r="K513" s="8" t="s">
        <v>41</v>
      </c>
      <c r="L513" t="s">
        <v>35</v>
      </c>
      <c r="O513">
        <v>1</v>
      </c>
      <c r="P513">
        <v>1</v>
      </c>
      <c r="Q513">
        <v>0</v>
      </c>
      <c r="R513">
        <v>1</v>
      </c>
      <c r="S513">
        <v>0</v>
      </c>
      <c r="T513">
        <v>0</v>
      </c>
      <c r="U513">
        <v>0</v>
      </c>
      <c r="V513">
        <v>0</v>
      </c>
      <c r="W513" s="8">
        <v>0</v>
      </c>
      <c r="X513">
        <v>0</v>
      </c>
      <c r="Y513">
        <v>0</v>
      </c>
      <c r="Z513" s="8"/>
      <c r="AA513" s="8" t="s">
        <v>475</v>
      </c>
      <c r="AB513" t="s">
        <v>21</v>
      </c>
    </row>
    <row r="514" spans="1:30">
      <c r="A514" s="8">
        <v>2015</v>
      </c>
      <c r="B514" s="8">
        <v>163</v>
      </c>
      <c r="D514" s="8" t="s">
        <v>18</v>
      </c>
      <c r="F514" t="s">
        <v>19</v>
      </c>
      <c r="G514" s="8" t="s">
        <v>35</v>
      </c>
      <c r="I514" s="8" t="s">
        <v>22</v>
      </c>
      <c r="J514" t="s">
        <v>24</v>
      </c>
      <c r="K514" s="8" t="s">
        <v>41</v>
      </c>
      <c r="L514" t="s">
        <v>35</v>
      </c>
      <c r="O514">
        <v>0</v>
      </c>
      <c r="P514">
        <v>1</v>
      </c>
      <c r="Q514">
        <v>1</v>
      </c>
      <c r="R514">
        <v>0</v>
      </c>
      <c r="S514">
        <v>1</v>
      </c>
      <c r="T514">
        <v>0</v>
      </c>
      <c r="U514">
        <v>0</v>
      </c>
      <c r="V514">
        <v>0</v>
      </c>
      <c r="W514" s="8">
        <v>0</v>
      </c>
      <c r="X514">
        <v>0</v>
      </c>
      <c r="Y514">
        <v>0</v>
      </c>
      <c r="Z514" s="8"/>
      <c r="AA514" s="8" t="s">
        <v>476</v>
      </c>
      <c r="AB514" t="s">
        <v>21</v>
      </c>
    </row>
    <row r="515" spans="1:30">
      <c r="A515" s="8">
        <v>2015</v>
      </c>
      <c r="B515" s="8">
        <v>163</v>
      </c>
      <c r="D515" s="8" t="s">
        <v>18</v>
      </c>
      <c r="F515" t="s">
        <v>19</v>
      </c>
      <c r="G515" s="8" t="s">
        <v>152</v>
      </c>
      <c r="H515" t="s">
        <v>184</v>
      </c>
      <c r="I515" s="8" t="s">
        <v>22</v>
      </c>
      <c r="J515" t="s">
        <v>24</v>
      </c>
      <c r="K515" s="8" t="s">
        <v>41</v>
      </c>
      <c r="L515" t="s">
        <v>35</v>
      </c>
      <c r="O515">
        <v>0</v>
      </c>
      <c r="P515">
        <v>1</v>
      </c>
      <c r="Q515">
        <v>0</v>
      </c>
      <c r="R515">
        <v>0</v>
      </c>
      <c r="S515">
        <v>1</v>
      </c>
      <c r="T515">
        <v>0</v>
      </c>
      <c r="U515">
        <v>0</v>
      </c>
      <c r="V515">
        <v>0</v>
      </c>
      <c r="W515" s="8">
        <v>0</v>
      </c>
      <c r="X515">
        <v>0</v>
      </c>
      <c r="Y515">
        <v>0</v>
      </c>
      <c r="Z515" s="8"/>
      <c r="AA515" s="8" t="s">
        <v>476</v>
      </c>
      <c r="AB515" t="s">
        <v>21</v>
      </c>
    </row>
    <row r="516" spans="1:30">
      <c r="A516" s="8">
        <v>2015</v>
      </c>
      <c r="B516" s="8">
        <v>163</v>
      </c>
      <c r="D516" s="8" t="s">
        <v>18</v>
      </c>
      <c r="F516" t="s">
        <v>19</v>
      </c>
      <c r="G516" s="8" t="s">
        <v>22</v>
      </c>
      <c r="H516" t="s">
        <v>24</v>
      </c>
      <c r="I516" s="8" t="s">
        <v>22</v>
      </c>
      <c r="J516" t="s">
        <v>24</v>
      </c>
      <c r="K516" s="8" t="s">
        <v>41</v>
      </c>
      <c r="L516" t="s">
        <v>35</v>
      </c>
      <c r="O516">
        <v>0</v>
      </c>
      <c r="P516">
        <v>1</v>
      </c>
      <c r="Q516">
        <v>1</v>
      </c>
      <c r="R516">
        <v>0</v>
      </c>
      <c r="S516">
        <v>1</v>
      </c>
      <c r="T516">
        <v>0</v>
      </c>
      <c r="U516">
        <v>0</v>
      </c>
      <c r="V516">
        <v>0</v>
      </c>
      <c r="W516" s="8">
        <v>0</v>
      </c>
      <c r="X516">
        <v>0</v>
      </c>
      <c r="Y516">
        <v>0</v>
      </c>
      <c r="Z516" s="8"/>
      <c r="AA516" s="8" t="s">
        <v>476</v>
      </c>
      <c r="AB516" t="s">
        <v>21</v>
      </c>
    </row>
    <row r="517" spans="1:30">
      <c r="A517" s="8">
        <v>2015</v>
      </c>
      <c r="B517" s="8">
        <v>163</v>
      </c>
      <c r="D517" s="8" t="s">
        <v>18</v>
      </c>
      <c r="F517" t="s">
        <v>19</v>
      </c>
      <c r="G517" s="8" t="s">
        <v>191</v>
      </c>
      <c r="H517" t="s">
        <v>194</v>
      </c>
      <c r="I517" s="8" t="s">
        <v>22</v>
      </c>
      <c r="J517" t="s">
        <v>24</v>
      </c>
      <c r="K517" s="8" t="s">
        <v>41</v>
      </c>
      <c r="L517" t="s">
        <v>35</v>
      </c>
      <c r="O517">
        <v>0</v>
      </c>
      <c r="P517">
        <v>1</v>
      </c>
      <c r="Q517">
        <v>0</v>
      </c>
      <c r="R517">
        <v>0</v>
      </c>
      <c r="S517">
        <v>1</v>
      </c>
      <c r="T517">
        <v>0</v>
      </c>
      <c r="U517">
        <v>0</v>
      </c>
      <c r="V517">
        <v>0</v>
      </c>
      <c r="W517" s="8">
        <v>0</v>
      </c>
      <c r="X517">
        <v>0</v>
      </c>
      <c r="Y517">
        <v>0</v>
      </c>
      <c r="Z517" s="8"/>
      <c r="AA517" s="8" t="s">
        <v>476</v>
      </c>
      <c r="AB517" t="s">
        <v>21</v>
      </c>
    </row>
    <row r="518" spans="1:30">
      <c r="A518" s="8">
        <v>2015</v>
      </c>
      <c r="B518" s="8">
        <v>163</v>
      </c>
      <c r="D518" s="8" t="s">
        <v>18</v>
      </c>
      <c r="F518" t="s">
        <v>19</v>
      </c>
      <c r="G518" s="8" t="s">
        <v>192</v>
      </c>
      <c r="H518" t="s">
        <v>195</v>
      </c>
      <c r="I518" s="8" t="s">
        <v>22</v>
      </c>
      <c r="J518" t="s">
        <v>24</v>
      </c>
      <c r="K518" s="8" t="s">
        <v>41</v>
      </c>
      <c r="L518" t="s">
        <v>35</v>
      </c>
      <c r="O518">
        <v>0</v>
      </c>
      <c r="P518">
        <v>1</v>
      </c>
      <c r="Q518">
        <v>0</v>
      </c>
      <c r="R518">
        <v>0</v>
      </c>
      <c r="S518">
        <v>1</v>
      </c>
      <c r="T518">
        <v>0</v>
      </c>
      <c r="U518">
        <v>0</v>
      </c>
      <c r="V518">
        <v>0</v>
      </c>
      <c r="W518" s="8">
        <v>0</v>
      </c>
      <c r="X518">
        <v>0</v>
      </c>
      <c r="Y518">
        <v>0</v>
      </c>
      <c r="Z518" s="8"/>
      <c r="AA518" s="8" t="s">
        <v>476</v>
      </c>
      <c r="AB518" t="s">
        <v>21</v>
      </c>
    </row>
    <row r="519" spans="1:30">
      <c r="A519" s="8">
        <v>2015</v>
      </c>
      <c r="B519" s="8">
        <v>163</v>
      </c>
      <c r="D519" s="8" t="s">
        <v>18</v>
      </c>
      <c r="F519" t="s">
        <v>19</v>
      </c>
      <c r="G519" s="8" t="s">
        <v>60</v>
      </c>
      <c r="H519" t="s">
        <v>61</v>
      </c>
      <c r="I519" s="8" t="s">
        <v>22</v>
      </c>
      <c r="J519" t="s">
        <v>24</v>
      </c>
      <c r="K519" s="8" t="s">
        <v>41</v>
      </c>
      <c r="L519" t="s">
        <v>35</v>
      </c>
      <c r="O519">
        <v>0</v>
      </c>
      <c r="P519">
        <v>1</v>
      </c>
      <c r="Q519">
        <v>0</v>
      </c>
      <c r="R519">
        <v>0</v>
      </c>
      <c r="S519">
        <v>1</v>
      </c>
      <c r="T519">
        <v>0</v>
      </c>
      <c r="U519">
        <v>0</v>
      </c>
      <c r="V519">
        <v>0</v>
      </c>
      <c r="W519" s="8">
        <v>0</v>
      </c>
      <c r="X519">
        <v>0</v>
      </c>
      <c r="Y519">
        <v>0</v>
      </c>
      <c r="Z519" s="8"/>
      <c r="AA519" s="8" t="s">
        <v>476</v>
      </c>
      <c r="AB519" t="s">
        <v>21</v>
      </c>
    </row>
    <row r="520" spans="1:30">
      <c r="A520" s="8">
        <v>2015</v>
      </c>
      <c r="B520" s="8">
        <v>163</v>
      </c>
      <c r="D520" s="8" t="s">
        <v>18</v>
      </c>
      <c r="F520" t="s">
        <v>19</v>
      </c>
      <c r="G520" s="8" t="s">
        <v>37</v>
      </c>
      <c r="I520" s="8" t="s">
        <v>22</v>
      </c>
      <c r="J520" t="s">
        <v>24</v>
      </c>
      <c r="K520" s="8" t="s">
        <v>41</v>
      </c>
      <c r="L520" t="s">
        <v>35</v>
      </c>
      <c r="O520">
        <v>0</v>
      </c>
      <c r="P520">
        <v>1</v>
      </c>
      <c r="Q520">
        <v>0</v>
      </c>
      <c r="R520">
        <v>0</v>
      </c>
      <c r="S520">
        <v>1</v>
      </c>
      <c r="T520">
        <v>0</v>
      </c>
      <c r="U520">
        <v>0</v>
      </c>
      <c r="V520">
        <v>0</v>
      </c>
      <c r="W520" s="8">
        <v>0</v>
      </c>
      <c r="X520">
        <v>0</v>
      </c>
      <c r="Y520">
        <v>0</v>
      </c>
      <c r="Z520" s="8"/>
      <c r="AA520" s="8" t="s">
        <v>476</v>
      </c>
      <c r="AB520" t="s">
        <v>21</v>
      </c>
    </row>
    <row r="521" spans="1:30">
      <c r="A521" s="8">
        <v>2015</v>
      </c>
      <c r="B521" s="8">
        <v>163</v>
      </c>
      <c r="D521" s="8" t="s">
        <v>18</v>
      </c>
      <c r="F521" t="s">
        <v>19</v>
      </c>
      <c r="G521" s="8" t="s">
        <v>202</v>
      </c>
      <c r="H521" t="s">
        <v>205</v>
      </c>
      <c r="I521" s="8" t="s">
        <v>22</v>
      </c>
      <c r="J521" t="s">
        <v>24</v>
      </c>
      <c r="K521" s="8" t="s">
        <v>41</v>
      </c>
      <c r="L521" t="s">
        <v>35</v>
      </c>
      <c r="O521">
        <v>0</v>
      </c>
      <c r="P521">
        <v>1</v>
      </c>
      <c r="Q521">
        <v>0</v>
      </c>
      <c r="R521">
        <v>0</v>
      </c>
      <c r="S521">
        <v>1</v>
      </c>
      <c r="T521">
        <v>0</v>
      </c>
      <c r="U521">
        <v>0</v>
      </c>
      <c r="V521">
        <v>0</v>
      </c>
      <c r="W521" s="8">
        <v>0</v>
      </c>
      <c r="X521">
        <v>0</v>
      </c>
      <c r="Y521">
        <v>0</v>
      </c>
      <c r="Z521" s="8"/>
      <c r="AA521" s="8" t="s">
        <v>476</v>
      </c>
      <c r="AB521" t="s">
        <v>21</v>
      </c>
    </row>
    <row r="522" spans="1:30">
      <c r="A522" s="8">
        <v>2015</v>
      </c>
      <c r="B522" s="8">
        <v>163</v>
      </c>
      <c r="D522" s="8" t="s">
        <v>18</v>
      </c>
      <c r="F522" t="s">
        <v>19</v>
      </c>
      <c r="G522" s="8" t="s">
        <v>193</v>
      </c>
      <c r="H522" t="s">
        <v>185</v>
      </c>
      <c r="I522" s="8" t="s">
        <v>22</v>
      </c>
      <c r="J522" t="s">
        <v>24</v>
      </c>
      <c r="K522" s="8" t="s">
        <v>41</v>
      </c>
      <c r="L522" t="s">
        <v>35</v>
      </c>
      <c r="O522">
        <v>0</v>
      </c>
      <c r="P522">
        <v>1</v>
      </c>
      <c r="Q522">
        <v>0</v>
      </c>
      <c r="R522">
        <v>0</v>
      </c>
      <c r="S522">
        <v>1</v>
      </c>
      <c r="T522">
        <v>0</v>
      </c>
      <c r="U522">
        <v>0</v>
      </c>
      <c r="V522">
        <v>0</v>
      </c>
      <c r="W522" s="8">
        <v>0</v>
      </c>
      <c r="X522">
        <v>0</v>
      </c>
      <c r="Y522">
        <v>0</v>
      </c>
      <c r="Z522" s="8"/>
      <c r="AA522" s="8" t="s">
        <v>476</v>
      </c>
      <c r="AB522" t="s">
        <v>21</v>
      </c>
    </row>
    <row r="523" spans="1:30">
      <c r="A523" s="8">
        <v>2015</v>
      </c>
      <c r="B523" s="8">
        <v>163</v>
      </c>
      <c r="D523" s="8" t="s">
        <v>18</v>
      </c>
      <c r="F523" t="s">
        <v>19</v>
      </c>
      <c r="G523" s="8" t="s">
        <v>161</v>
      </c>
      <c r="I523" s="8" t="s">
        <v>22</v>
      </c>
      <c r="J523" t="s">
        <v>24</v>
      </c>
      <c r="K523" s="8" t="s">
        <v>41</v>
      </c>
      <c r="L523" t="s">
        <v>35</v>
      </c>
      <c r="O523">
        <v>0</v>
      </c>
      <c r="P523">
        <v>1</v>
      </c>
      <c r="Q523">
        <v>0</v>
      </c>
      <c r="R523">
        <v>0</v>
      </c>
      <c r="S523">
        <v>1</v>
      </c>
      <c r="T523">
        <v>0</v>
      </c>
      <c r="U523">
        <v>0</v>
      </c>
      <c r="V523">
        <v>0</v>
      </c>
      <c r="W523" s="8">
        <v>0</v>
      </c>
      <c r="X523">
        <v>0</v>
      </c>
      <c r="Y523">
        <v>0</v>
      </c>
      <c r="Z523" s="8"/>
      <c r="AA523" s="8" t="s">
        <v>476</v>
      </c>
      <c r="AB523" t="s">
        <v>21</v>
      </c>
    </row>
    <row r="524" spans="1:30">
      <c r="A524" s="8">
        <v>2015</v>
      </c>
      <c r="B524" s="8">
        <v>163</v>
      </c>
      <c r="D524" s="8" t="s">
        <v>18</v>
      </c>
      <c r="F524" t="s">
        <v>19</v>
      </c>
      <c r="G524" s="8" t="s">
        <v>203</v>
      </c>
      <c r="H524" t="s">
        <v>206</v>
      </c>
      <c r="I524" s="8" t="s">
        <v>22</v>
      </c>
      <c r="J524" t="s">
        <v>24</v>
      </c>
      <c r="K524" s="8" t="s">
        <v>41</v>
      </c>
      <c r="L524" t="s">
        <v>35</v>
      </c>
      <c r="O524">
        <v>0</v>
      </c>
      <c r="P524">
        <v>1</v>
      </c>
      <c r="Q524">
        <v>0</v>
      </c>
      <c r="R524">
        <v>0</v>
      </c>
      <c r="S524">
        <v>1</v>
      </c>
      <c r="T524">
        <v>0</v>
      </c>
      <c r="U524">
        <v>0</v>
      </c>
      <c r="V524">
        <v>0</v>
      </c>
      <c r="W524" s="8">
        <v>0</v>
      </c>
      <c r="X524">
        <v>0</v>
      </c>
      <c r="Y524">
        <v>0</v>
      </c>
      <c r="Z524" s="8"/>
      <c r="AA524" s="8" t="s">
        <v>476</v>
      </c>
      <c r="AB524" t="s">
        <v>21</v>
      </c>
    </row>
    <row r="525" spans="1:30">
      <c r="A525" s="8">
        <v>2015</v>
      </c>
      <c r="B525" s="8">
        <v>163</v>
      </c>
      <c r="D525" s="8" t="s">
        <v>18</v>
      </c>
      <c r="F525" t="s">
        <v>19</v>
      </c>
      <c r="G525" s="8" t="s">
        <v>249</v>
      </c>
      <c r="H525" t="s">
        <v>250</v>
      </c>
      <c r="I525" s="8" t="s">
        <v>22</v>
      </c>
      <c r="J525" t="s">
        <v>24</v>
      </c>
      <c r="K525" s="8" t="s">
        <v>41</v>
      </c>
      <c r="L525" t="s">
        <v>35</v>
      </c>
      <c r="O525">
        <v>0</v>
      </c>
      <c r="P525">
        <v>1</v>
      </c>
      <c r="Q525">
        <v>0</v>
      </c>
      <c r="R525">
        <v>0</v>
      </c>
      <c r="S525">
        <v>1</v>
      </c>
      <c r="T525">
        <v>0</v>
      </c>
      <c r="U525">
        <v>0</v>
      </c>
      <c r="V525">
        <v>0</v>
      </c>
      <c r="W525" s="8">
        <v>0</v>
      </c>
      <c r="X525">
        <v>0</v>
      </c>
      <c r="Y525">
        <v>0</v>
      </c>
      <c r="Z525" s="8"/>
      <c r="AA525" s="8" t="s">
        <v>476</v>
      </c>
      <c r="AB525" t="s">
        <v>21</v>
      </c>
    </row>
    <row r="526" spans="1:30">
      <c r="A526" s="8">
        <v>2015</v>
      </c>
      <c r="B526" s="8">
        <v>164</v>
      </c>
      <c r="D526" s="8" t="s">
        <v>18</v>
      </c>
      <c r="F526" t="s">
        <v>19</v>
      </c>
      <c r="G526" s="8" t="s">
        <v>35</v>
      </c>
      <c r="I526" s="8" t="s">
        <v>22</v>
      </c>
      <c r="J526" t="s">
        <v>24</v>
      </c>
      <c r="K526" s="8" t="s">
        <v>41</v>
      </c>
      <c r="L526" t="s">
        <v>193</v>
      </c>
      <c r="O526">
        <v>0</v>
      </c>
      <c r="P526">
        <v>1</v>
      </c>
      <c r="Q526">
        <v>1</v>
      </c>
      <c r="R526">
        <v>0</v>
      </c>
      <c r="S526">
        <v>0</v>
      </c>
      <c r="T526">
        <v>0</v>
      </c>
      <c r="U526">
        <v>0</v>
      </c>
      <c r="V526">
        <v>1</v>
      </c>
      <c r="W526" s="8">
        <v>0</v>
      </c>
      <c r="X526">
        <v>0</v>
      </c>
      <c r="Y526">
        <v>0</v>
      </c>
      <c r="Z526" s="8"/>
      <c r="AA526" s="8" t="s">
        <v>478</v>
      </c>
      <c r="AB526" t="s">
        <v>21</v>
      </c>
      <c r="AC526" t="s">
        <v>477</v>
      </c>
    </row>
    <row r="527" spans="1:30">
      <c r="A527" s="8">
        <v>2015</v>
      </c>
      <c r="B527" s="8">
        <v>164</v>
      </c>
      <c r="D527" s="8" t="s">
        <v>18</v>
      </c>
      <c r="F527" t="s">
        <v>19</v>
      </c>
      <c r="G527" s="8" t="s">
        <v>193</v>
      </c>
      <c r="H527" t="s">
        <v>185</v>
      </c>
      <c r="I527" s="8" t="s">
        <v>22</v>
      </c>
      <c r="J527" t="s">
        <v>24</v>
      </c>
      <c r="K527" s="8" t="s">
        <v>41</v>
      </c>
      <c r="L527" t="s">
        <v>193</v>
      </c>
      <c r="O527" s="17">
        <v>0</v>
      </c>
      <c r="P527">
        <v>1</v>
      </c>
      <c r="Q527">
        <v>0</v>
      </c>
      <c r="R527">
        <v>0</v>
      </c>
      <c r="S527">
        <v>0</v>
      </c>
      <c r="T527">
        <v>0</v>
      </c>
      <c r="U527">
        <v>0</v>
      </c>
      <c r="V527">
        <v>1</v>
      </c>
      <c r="W527" s="8">
        <v>0</v>
      </c>
      <c r="X527">
        <v>0</v>
      </c>
      <c r="Y527">
        <v>0</v>
      </c>
      <c r="Z527" s="8"/>
      <c r="AA527" s="8" t="s">
        <v>478</v>
      </c>
      <c r="AB527" t="s">
        <v>21</v>
      </c>
      <c r="AC527" t="s">
        <v>477</v>
      </c>
    </row>
    <row r="528" spans="1:30">
      <c r="A528" s="8">
        <v>2015</v>
      </c>
      <c r="B528" s="8">
        <v>165</v>
      </c>
      <c r="D528" s="8" t="s">
        <v>18</v>
      </c>
      <c r="F528" t="s">
        <v>19</v>
      </c>
      <c r="G528" s="8" t="s">
        <v>35</v>
      </c>
      <c r="I528" s="8" t="s">
        <v>22</v>
      </c>
      <c r="J528" t="s">
        <v>24</v>
      </c>
      <c r="K528" s="8" t="s">
        <v>41</v>
      </c>
      <c r="L528" t="s">
        <v>35</v>
      </c>
      <c r="O528">
        <v>0</v>
      </c>
      <c r="P528">
        <v>0</v>
      </c>
      <c r="Q528">
        <v>1</v>
      </c>
      <c r="R528">
        <v>1</v>
      </c>
      <c r="S528">
        <v>0</v>
      </c>
      <c r="T528">
        <v>0</v>
      </c>
      <c r="U528">
        <v>1</v>
      </c>
      <c r="V528">
        <v>1</v>
      </c>
      <c r="W528" s="8">
        <v>1</v>
      </c>
      <c r="X528" s="8">
        <v>1</v>
      </c>
      <c r="Y528" s="8">
        <v>0</v>
      </c>
      <c r="Z528" s="8" t="s">
        <v>232</v>
      </c>
      <c r="AA528" s="8" t="s">
        <v>479</v>
      </c>
      <c r="AB528" t="s">
        <v>21</v>
      </c>
      <c r="AC528" s="8" t="s">
        <v>480</v>
      </c>
      <c r="AD528" t="s">
        <v>503</v>
      </c>
    </row>
    <row r="529" spans="1:30">
      <c r="A529" s="8">
        <v>2015</v>
      </c>
      <c r="B529" s="8">
        <v>165</v>
      </c>
      <c r="D529" s="8" t="s">
        <v>18</v>
      </c>
      <c r="F529" t="s">
        <v>19</v>
      </c>
      <c r="G529" s="8" t="s">
        <v>152</v>
      </c>
      <c r="H529" t="s">
        <v>184</v>
      </c>
      <c r="I529" s="8" t="s">
        <v>22</v>
      </c>
      <c r="J529" t="s">
        <v>24</v>
      </c>
      <c r="K529" s="8" t="s">
        <v>41</v>
      </c>
      <c r="L529" t="s">
        <v>35</v>
      </c>
      <c r="O529">
        <v>0</v>
      </c>
      <c r="P529">
        <v>0</v>
      </c>
      <c r="Q529">
        <v>0</v>
      </c>
      <c r="R529">
        <v>1</v>
      </c>
      <c r="S529">
        <v>0</v>
      </c>
      <c r="T529">
        <v>0</v>
      </c>
      <c r="U529">
        <v>1</v>
      </c>
      <c r="V529">
        <v>1</v>
      </c>
      <c r="W529" s="8">
        <v>1</v>
      </c>
      <c r="X529" s="8">
        <v>1</v>
      </c>
      <c r="Y529" s="8">
        <v>0</v>
      </c>
      <c r="Z529" s="8" t="s">
        <v>232</v>
      </c>
      <c r="AA529" s="8" t="s">
        <v>479</v>
      </c>
      <c r="AB529" t="s">
        <v>21</v>
      </c>
      <c r="AC529" s="8" t="s">
        <v>480</v>
      </c>
      <c r="AD529" t="s">
        <v>503</v>
      </c>
    </row>
    <row r="530" spans="1:30">
      <c r="A530" s="8">
        <v>2015</v>
      </c>
      <c r="B530" s="8">
        <v>165</v>
      </c>
      <c r="D530" s="8" t="s">
        <v>18</v>
      </c>
      <c r="F530" t="s">
        <v>19</v>
      </c>
      <c r="G530" s="8" t="s">
        <v>22</v>
      </c>
      <c r="H530" t="s">
        <v>24</v>
      </c>
      <c r="I530" s="8" t="s">
        <v>22</v>
      </c>
      <c r="J530" t="s">
        <v>24</v>
      </c>
      <c r="K530" s="8" t="s">
        <v>41</v>
      </c>
      <c r="L530" t="s">
        <v>35</v>
      </c>
      <c r="O530">
        <v>0</v>
      </c>
      <c r="P530">
        <v>0</v>
      </c>
      <c r="Q530">
        <v>1</v>
      </c>
      <c r="R530">
        <v>1</v>
      </c>
      <c r="S530">
        <v>0</v>
      </c>
      <c r="T530">
        <v>0</v>
      </c>
      <c r="U530">
        <v>1</v>
      </c>
      <c r="V530">
        <v>1</v>
      </c>
      <c r="W530" s="8">
        <v>1</v>
      </c>
      <c r="X530" s="8">
        <v>1</v>
      </c>
      <c r="Y530" s="8">
        <v>0</v>
      </c>
      <c r="Z530" s="8" t="s">
        <v>232</v>
      </c>
      <c r="AA530" s="8" t="s">
        <v>479</v>
      </c>
      <c r="AB530" t="s">
        <v>21</v>
      </c>
      <c r="AC530" s="8" t="s">
        <v>480</v>
      </c>
      <c r="AD530" t="s">
        <v>503</v>
      </c>
    </row>
    <row r="531" spans="1:30">
      <c r="A531" s="8">
        <v>2015</v>
      </c>
      <c r="B531" s="8">
        <v>165</v>
      </c>
      <c r="D531" s="8" t="s">
        <v>18</v>
      </c>
      <c r="F531" t="s">
        <v>19</v>
      </c>
      <c r="G531" s="8" t="s">
        <v>191</v>
      </c>
      <c r="H531" t="s">
        <v>194</v>
      </c>
      <c r="I531" s="8" t="s">
        <v>22</v>
      </c>
      <c r="J531" t="s">
        <v>24</v>
      </c>
      <c r="K531" s="8" t="s">
        <v>41</v>
      </c>
      <c r="L531" t="s">
        <v>35</v>
      </c>
      <c r="O531">
        <v>0</v>
      </c>
      <c r="P531">
        <v>0</v>
      </c>
      <c r="Q531">
        <v>0</v>
      </c>
      <c r="R531">
        <v>1</v>
      </c>
      <c r="S531">
        <v>0</v>
      </c>
      <c r="T531">
        <v>0</v>
      </c>
      <c r="U531">
        <v>0</v>
      </c>
      <c r="V531">
        <v>1</v>
      </c>
      <c r="W531" s="8">
        <v>1</v>
      </c>
      <c r="X531" s="8">
        <v>1</v>
      </c>
      <c r="Y531" s="8">
        <v>0</v>
      </c>
      <c r="Z531" s="8" t="s">
        <v>232</v>
      </c>
      <c r="AA531" s="8" t="s">
        <v>479</v>
      </c>
      <c r="AB531" t="s">
        <v>21</v>
      </c>
      <c r="AC531" s="8" t="s">
        <v>480</v>
      </c>
      <c r="AD531" t="s">
        <v>503</v>
      </c>
    </row>
    <row r="532" spans="1:30">
      <c r="A532" s="8">
        <v>2015</v>
      </c>
      <c r="B532" s="8">
        <v>165</v>
      </c>
      <c r="D532" s="8" t="s">
        <v>18</v>
      </c>
      <c r="F532" t="s">
        <v>19</v>
      </c>
      <c r="G532" s="8" t="s">
        <v>192</v>
      </c>
      <c r="H532" t="s">
        <v>195</v>
      </c>
      <c r="I532" s="8" t="s">
        <v>22</v>
      </c>
      <c r="J532" t="s">
        <v>24</v>
      </c>
      <c r="K532" s="8" t="s">
        <v>41</v>
      </c>
      <c r="L532" t="s">
        <v>35</v>
      </c>
      <c r="O532">
        <v>0</v>
      </c>
      <c r="P532">
        <v>0</v>
      </c>
      <c r="Q532">
        <v>0</v>
      </c>
      <c r="R532">
        <v>1</v>
      </c>
      <c r="S532">
        <v>0</v>
      </c>
      <c r="T532">
        <v>0</v>
      </c>
      <c r="U532">
        <v>1</v>
      </c>
      <c r="V532">
        <v>1</v>
      </c>
      <c r="W532" s="8">
        <v>1</v>
      </c>
      <c r="X532" s="8">
        <v>1</v>
      </c>
      <c r="Y532" s="8">
        <v>0</v>
      </c>
      <c r="Z532" s="8" t="s">
        <v>232</v>
      </c>
      <c r="AA532" s="8" t="s">
        <v>479</v>
      </c>
      <c r="AB532" t="s">
        <v>21</v>
      </c>
      <c r="AC532" s="8" t="s">
        <v>480</v>
      </c>
      <c r="AD532" t="s">
        <v>503</v>
      </c>
    </row>
    <row r="533" spans="1:30">
      <c r="A533" s="8">
        <v>2015</v>
      </c>
      <c r="B533" s="8">
        <v>165</v>
      </c>
      <c r="D533" s="8" t="s">
        <v>18</v>
      </c>
      <c r="F533" t="s">
        <v>19</v>
      </c>
      <c r="G533" s="8" t="s">
        <v>60</v>
      </c>
      <c r="H533" t="s">
        <v>61</v>
      </c>
      <c r="I533" s="8" t="s">
        <v>22</v>
      </c>
      <c r="J533" t="s">
        <v>24</v>
      </c>
      <c r="K533" s="8" t="s">
        <v>41</v>
      </c>
      <c r="L533" t="s">
        <v>35</v>
      </c>
      <c r="O533">
        <v>0</v>
      </c>
      <c r="P533">
        <v>0</v>
      </c>
      <c r="Q533">
        <v>0</v>
      </c>
      <c r="R533">
        <v>1</v>
      </c>
      <c r="S533">
        <v>0</v>
      </c>
      <c r="T533">
        <v>0</v>
      </c>
      <c r="U533">
        <v>1</v>
      </c>
      <c r="V533">
        <v>1</v>
      </c>
      <c r="W533" s="8">
        <v>1</v>
      </c>
      <c r="X533" s="8">
        <v>1</v>
      </c>
      <c r="Y533" s="8">
        <v>0</v>
      </c>
      <c r="Z533" s="8" t="s">
        <v>232</v>
      </c>
      <c r="AA533" s="8" t="s">
        <v>479</v>
      </c>
      <c r="AB533" t="s">
        <v>21</v>
      </c>
      <c r="AC533" s="8" t="s">
        <v>480</v>
      </c>
      <c r="AD533" t="s">
        <v>503</v>
      </c>
    </row>
    <row r="534" spans="1:30">
      <c r="A534" s="8">
        <v>2015</v>
      </c>
      <c r="B534" s="8">
        <v>165</v>
      </c>
      <c r="D534" s="8" t="s">
        <v>18</v>
      </c>
      <c r="F534" t="s">
        <v>19</v>
      </c>
      <c r="G534" s="8" t="s">
        <v>484</v>
      </c>
      <c r="H534" t="s">
        <v>486</v>
      </c>
      <c r="I534" s="8" t="s">
        <v>22</v>
      </c>
      <c r="J534" t="s">
        <v>24</v>
      </c>
      <c r="K534" s="8" t="s">
        <v>41</v>
      </c>
      <c r="L534" t="s">
        <v>35</v>
      </c>
      <c r="O534">
        <v>0</v>
      </c>
      <c r="P534">
        <v>0</v>
      </c>
      <c r="Q534">
        <v>0</v>
      </c>
      <c r="R534">
        <v>1</v>
      </c>
      <c r="S534">
        <v>0</v>
      </c>
      <c r="T534">
        <v>0</v>
      </c>
      <c r="U534">
        <v>1</v>
      </c>
      <c r="V534">
        <v>1</v>
      </c>
      <c r="W534" s="8">
        <v>1</v>
      </c>
      <c r="X534" s="8">
        <v>1</v>
      </c>
      <c r="Y534" s="8">
        <v>0</v>
      </c>
      <c r="Z534" s="8" t="s">
        <v>232</v>
      </c>
      <c r="AA534" s="8" t="s">
        <v>479</v>
      </c>
      <c r="AB534" t="s">
        <v>21</v>
      </c>
      <c r="AC534" s="8"/>
      <c r="AD534" t="s">
        <v>503</v>
      </c>
    </row>
    <row r="535" spans="1:30">
      <c r="A535" s="8">
        <v>2015</v>
      </c>
      <c r="B535" s="8">
        <v>165</v>
      </c>
      <c r="D535" s="8" t="s">
        <v>18</v>
      </c>
      <c r="F535" t="s">
        <v>19</v>
      </c>
      <c r="G535" s="8" t="s">
        <v>485</v>
      </c>
      <c r="H535" t="s">
        <v>487</v>
      </c>
      <c r="I535" s="8" t="s">
        <v>22</v>
      </c>
      <c r="J535" t="s">
        <v>24</v>
      </c>
      <c r="K535" s="8" t="s">
        <v>41</v>
      </c>
      <c r="L535" t="s">
        <v>35</v>
      </c>
      <c r="O535">
        <v>0</v>
      </c>
      <c r="P535">
        <v>0</v>
      </c>
      <c r="Q535">
        <v>0</v>
      </c>
      <c r="R535">
        <v>1</v>
      </c>
      <c r="S535">
        <v>0</v>
      </c>
      <c r="T535">
        <v>0</v>
      </c>
      <c r="U535">
        <v>1</v>
      </c>
      <c r="V535">
        <v>1</v>
      </c>
      <c r="W535" s="8">
        <v>1</v>
      </c>
      <c r="X535" s="8">
        <v>1</v>
      </c>
      <c r="Y535" s="8">
        <v>0</v>
      </c>
      <c r="Z535" s="8" t="s">
        <v>232</v>
      </c>
      <c r="AA535" s="8" t="s">
        <v>479</v>
      </c>
      <c r="AB535" t="s">
        <v>21</v>
      </c>
      <c r="AC535" s="8"/>
      <c r="AD535" t="s">
        <v>503</v>
      </c>
    </row>
    <row r="536" spans="1:30">
      <c r="A536" s="8">
        <v>2015</v>
      </c>
      <c r="B536" s="8">
        <v>165</v>
      </c>
      <c r="D536" s="8" t="s">
        <v>18</v>
      </c>
      <c r="F536" t="s">
        <v>19</v>
      </c>
      <c r="G536" s="8" t="s">
        <v>37</v>
      </c>
      <c r="I536" s="8" t="s">
        <v>22</v>
      </c>
      <c r="J536" t="s">
        <v>24</v>
      </c>
      <c r="K536" s="8" t="s">
        <v>41</v>
      </c>
      <c r="L536" t="s">
        <v>35</v>
      </c>
      <c r="O536">
        <v>0</v>
      </c>
      <c r="P536">
        <v>0</v>
      </c>
      <c r="Q536">
        <v>0</v>
      </c>
      <c r="R536">
        <v>1</v>
      </c>
      <c r="S536">
        <v>0</v>
      </c>
      <c r="T536">
        <v>0</v>
      </c>
      <c r="U536">
        <v>1</v>
      </c>
      <c r="V536">
        <v>1</v>
      </c>
      <c r="W536" s="8">
        <v>1</v>
      </c>
      <c r="X536" s="8">
        <v>1</v>
      </c>
      <c r="Y536" s="8">
        <v>0</v>
      </c>
      <c r="Z536" s="8" t="s">
        <v>232</v>
      </c>
      <c r="AA536" s="8" t="s">
        <v>479</v>
      </c>
      <c r="AB536" t="s">
        <v>21</v>
      </c>
      <c r="AC536" s="8" t="s">
        <v>480</v>
      </c>
      <c r="AD536" t="s">
        <v>503</v>
      </c>
    </row>
    <row r="537" spans="1:30">
      <c r="A537" s="8">
        <v>2015</v>
      </c>
      <c r="B537" s="8">
        <v>165</v>
      </c>
      <c r="D537" s="8" t="s">
        <v>18</v>
      </c>
      <c r="F537" t="s">
        <v>19</v>
      </c>
      <c r="G537" s="8" t="s">
        <v>202</v>
      </c>
      <c r="H537" t="s">
        <v>205</v>
      </c>
      <c r="I537" s="8" t="s">
        <v>22</v>
      </c>
      <c r="J537" t="s">
        <v>24</v>
      </c>
      <c r="K537" s="8" t="s">
        <v>41</v>
      </c>
      <c r="L537" t="s">
        <v>35</v>
      </c>
      <c r="O537">
        <v>0</v>
      </c>
      <c r="P537">
        <v>0</v>
      </c>
      <c r="Q537">
        <v>0</v>
      </c>
      <c r="R537">
        <v>1</v>
      </c>
      <c r="S537">
        <v>0</v>
      </c>
      <c r="T537">
        <v>0</v>
      </c>
      <c r="U537">
        <v>1</v>
      </c>
      <c r="V537">
        <v>1</v>
      </c>
      <c r="W537" s="8">
        <v>1</v>
      </c>
      <c r="X537" s="8">
        <v>1</v>
      </c>
      <c r="Y537" s="8">
        <v>0</v>
      </c>
      <c r="Z537" s="8" t="s">
        <v>232</v>
      </c>
      <c r="AA537" s="8" t="s">
        <v>479</v>
      </c>
      <c r="AB537" t="s">
        <v>21</v>
      </c>
      <c r="AC537" s="8" t="s">
        <v>480</v>
      </c>
      <c r="AD537" t="s">
        <v>503</v>
      </c>
    </row>
    <row r="538" spans="1:30">
      <c r="A538" s="8">
        <v>2015</v>
      </c>
      <c r="B538" s="8">
        <v>165</v>
      </c>
      <c r="D538" s="8" t="s">
        <v>18</v>
      </c>
      <c r="F538" t="s">
        <v>19</v>
      </c>
      <c r="G538" s="8" t="s">
        <v>193</v>
      </c>
      <c r="H538" t="s">
        <v>185</v>
      </c>
      <c r="I538" s="8" t="s">
        <v>22</v>
      </c>
      <c r="J538" t="s">
        <v>24</v>
      </c>
      <c r="K538" s="8" t="s">
        <v>41</v>
      </c>
      <c r="L538" t="s">
        <v>35</v>
      </c>
      <c r="O538">
        <v>0</v>
      </c>
      <c r="P538">
        <v>0</v>
      </c>
      <c r="Q538">
        <v>0</v>
      </c>
      <c r="R538">
        <v>1</v>
      </c>
      <c r="S538">
        <v>1</v>
      </c>
      <c r="T538">
        <v>0</v>
      </c>
      <c r="U538">
        <v>1</v>
      </c>
      <c r="V538">
        <v>1</v>
      </c>
      <c r="W538" s="8">
        <v>1</v>
      </c>
      <c r="X538" s="8">
        <v>1</v>
      </c>
      <c r="Y538" s="8">
        <v>0</v>
      </c>
      <c r="Z538" s="8" t="s">
        <v>232</v>
      </c>
      <c r="AA538" s="8" t="s">
        <v>479</v>
      </c>
      <c r="AB538" t="s">
        <v>21</v>
      </c>
      <c r="AC538" s="8" t="s">
        <v>481</v>
      </c>
      <c r="AD538" t="s">
        <v>503</v>
      </c>
    </row>
    <row r="539" spans="1:30">
      <c r="A539" s="8">
        <v>2015</v>
      </c>
      <c r="B539" s="8">
        <v>165</v>
      </c>
      <c r="D539" s="8" t="s">
        <v>18</v>
      </c>
      <c r="F539" t="s">
        <v>19</v>
      </c>
      <c r="G539" s="8" t="s">
        <v>161</v>
      </c>
      <c r="I539" s="8" t="s">
        <v>22</v>
      </c>
      <c r="J539" t="s">
        <v>24</v>
      </c>
      <c r="K539" s="8" t="s">
        <v>41</v>
      </c>
      <c r="L539" t="s">
        <v>35</v>
      </c>
      <c r="O539">
        <v>0</v>
      </c>
      <c r="P539">
        <v>0</v>
      </c>
      <c r="Q539">
        <v>0</v>
      </c>
      <c r="R539">
        <v>1</v>
      </c>
      <c r="S539">
        <v>0</v>
      </c>
      <c r="T539">
        <v>0</v>
      </c>
      <c r="U539">
        <v>1</v>
      </c>
      <c r="V539">
        <v>1</v>
      </c>
      <c r="W539" s="8">
        <v>1</v>
      </c>
      <c r="X539" s="8">
        <v>1</v>
      </c>
      <c r="Y539" s="8">
        <v>0</v>
      </c>
      <c r="Z539" s="8" t="s">
        <v>232</v>
      </c>
      <c r="AA539" s="8" t="s">
        <v>479</v>
      </c>
      <c r="AB539" t="s">
        <v>21</v>
      </c>
      <c r="AC539" s="8" t="s">
        <v>480</v>
      </c>
      <c r="AD539" t="s">
        <v>503</v>
      </c>
    </row>
    <row r="540" spans="1:30">
      <c r="A540" s="8">
        <v>2015</v>
      </c>
      <c r="B540" s="8">
        <v>165</v>
      </c>
      <c r="D540" s="8" t="s">
        <v>18</v>
      </c>
      <c r="F540" t="s">
        <v>19</v>
      </c>
      <c r="G540" s="8" t="s">
        <v>203</v>
      </c>
      <c r="H540" t="s">
        <v>206</v>
      </c>
      <c r="I540" s="8" t="s">
        <v>22</v>
      </c>
      <c r="J540" t="s">
        <v>24</v>
      </c>
      <c r="K540" s="8" t="s">
        <v>41</v>
      </c>
      <c r="L540" t="s">
        <v>35</v>
      </c>
      <c r="O540">
        <v>0</v>
      </c>
      <c r="P540">
        <v>0</v>
      </c>
      <c r="Q540">
        <v>0</v>
      </c>
      <c r="R540">
        <v>1</v>
      </c>
      <c r="S540">
        <v>0</v>
      </c>
      <c r="T540">
        <v>0</v>
      </c>
      <c r="U540">
        <v>1</v>
      </c>
      <c r="V540">
        <v>1</v>
      </c>
      <c r="W540" s="8">
        <v>1</v>
      </c>
      <c r="X540" s="8">
        <v>1</v>
      </c>
      <c r="Y540" s="8">
        <v>0</v>
      </c>
      <c r="Z540" s="8" t="s">
        <v>232</v>
      </c>
      <c r="AA540" s="8" t="s">
        <v>479</v>
      </c>
      <c r="AB540" t="s">
        <v>21</v>
      </c>
      <c r="AC540" s="8" t="s">
        <v>480</v>
      </c>
      <c r="AD540" t="s">
        <v>503</v>
      </c>
    </row>
    <row r="541" spans="1:30">
      <c r="A541" s="8">
        <v>2015</v>
      </c>
      <c r="B541" s="8">
        <v>165</v>
      </c>
      <c r="D541" s="8" t="s">
        <v>18</v>
      </c>
      <c r="F541" t="s">
        <v>19</v>
      </c>
      <c r="G541" s="8" t="s">
        <v>249</v>
      </c>
      <c r="H541" t="s">
        <v>250</v>
      </c>
      <c r="I541" s="8" t="s">
        <v>22</v>
      </c>
      <c r="J541" t="s">
        <v>24</v>
      </c>
      <c r="K541" s="8" t="s">
        <v>41</v>
      </c>
      <c r="L541" t="s">
        <v>35</v>
      </c>
      <c r="O541">
        <v>0</v>
      </c>
      <c r="P541">
        <v>0</v>
      </c>
      <c r="Q541">
        <v>0</v>
      </c>
      <c r="R541">
        <v>1</v>
      </c>
      <c r="S541">
        <v>0</v>
      </c>
      <c r="T541">
        <v>0</v>
      </c>
      <c r="U541">
        <v>1</v>
      </c>
      <c r="V541">
        <v>1</v>
      </c>
      <c r="W541" s="8">
        <v>1</v>
      </c>
      <c r="X541" s="8">
        <v>1</v>
      </c>
      <c r="Y541" s="8">
        <v>0</v>
      </c>
      <c r="Z541" s="8" t="s">
        <v>232</v>
      </c>
      <c r="AA541" s="8" t="s">
        <v>479</v>
      </c>
      <c r="AB541" t="s">
        <v>21</v>
      </c>
      <c r="AC541" s="8" t="s">
        <v>480</v>
      </c>
      <c r="AD541" t="s">
        <v>503</v>
      </c>
    </row>
    <row r="542" spans="1:30">
      <c r="A542" s="8">
        <v>2015</v>
      </c>
      <c r="B542" s="8">
        <v>165</v>
      </c>
      <c r="D542" s="8" t="s">
        <v>18</v>
      </c>
      <c r="F542" t="s">
        <v>19</v>
      </c>
      <c r="G542" s="8" t="s">
        <v>324</v>
      </c>
      <c r="H542" t="s">
        <v>332</v>
      </c>
      <c r="I542" s="8" t="s">
        <v>22</v>
      </c>
      <c r="J542" t="s">
        <v>24</v>
      </c>
      <c r="K542" s="8" t="s">
        <v>41</v>
      </c>
      <c r="L542" t="s">
        <v>35</v>
      </c>
      <c r="O542">
        <v>0</v>
      </c>
      <c r="P542">
        <v>0</v>
      </c>
      <c r="Q542">
        <v>0</v>
      </c>
      <c r="R542">
        <v>1</v>
      </c>
      <c r="S542">
        <v>0</v>
      </c>
      <c r="T542">
        <v>0</v>
      </c>
      <c r="U542">
        <v>1</v>
      </c>
      <c r="V542">
        <v>0</v>
      </c>
      <c r="W542" s="8">
        <v>1</v>
      </c>
      <c r="X542" s="8">
        <v>1</v>
      </c>
      <c r="Y542" s="8">
        <v>0</v>
      </c>
      <c r="Z542" s="8" t="s">
        <v>232</v>
      </c>
      <c r="AA542" s="8" t="s">
        <v>479</v>
      </c>
      <c r="AB542" t="s">
        <v>21</v>
      </c>
      <c r="AC542" s="8"/>
      <c r="AD542" t="s">
        <v>503</v>
      </c>
    </row>
    <row r="543" spans="1:30">
      <c r="A543" s="8">
        <v>2015</v>
      </c>
      <c r="B543" s="8">
        <v>165</v>
      </c>
      <c r="D543" s="8" t="s">
        <v>18</v>
      </c>
      <c r="F543" t="s">
        <v>19</v>
      </c>
      <c r="G543" s="8" t="s">
        <v>156</v>
      </c>
      <c r="H543" t="s">
        <v>189</v>
      </c>
      <c r="I543" s="8" t="s">
        <v>22</v>
      </c>
      <c r="J543" t="s">
        <v>24</v>
      </c>
      <c r="K543" s="8" t="s">
        <v>41</v>
      </c>
      <c r="L543" t="s">
        <v>35</v>
      </c>
      <c r="O543">
        <v>0</v>
      </c>
      <c r="P543">
        <v>0</v>
      </c>
      <c r="Q543">
        <v>0</v>
      </c>
      <c r="R543">
        <v>1</v>
      </c>
      <c r="S543">
        <v>0</v>
      </c>
      <c r="T543">
        <v>0</v>
      </c>
      <c r="U543">
        <v>1</v>
      </c>
      <c r="V543">
        <v>0</v>
      </c>
      <c r="W543" s="8">
        <v>1</v>
      </c>
      <c r="X543" s="8">
        <v>1</v>
      </c>
      <c r="Y543" s="8">
        <v>0</v>
      </c>
      <c r="Z543" s="8" t="s">
        <v>232</v>
      </c>
      <c r="AA543" s="8" t="s">
        <v>479</v>
      </c>
      <c r="AB543" t="s">
        <v>21</v>
      </c>
      <c r="AC543" s="8"/>
      <c r="AD543" t="s">
        <v>503</v>
      </c>
    </row>
    <row r="544" spans="1:30">
      <c r="A544" s="8">
        <v>2015</v>
      </c>
      <c r="B544" s="8">
        <v>165</v>
      </c>
      <c r="D544" s="8" t="s">
        <v>18</v>
      </c>
      <c r="F544" t="s">
        <v>19</v>
      </c>
      <c r="G544" s="8" t="s">
        <v>151</v>
      </c>
      <c r="H544" t="s">
        <v>183</v>
      </c>
      <c r="I544" s="8" t="s">
        <v>22</v>
      </c>
      <c r="J544" t="s">
        <v>24</v>
      </c>
      <c r="K544" s="8" t="s">
        <v>41</v>
      </c>
      <c r="L544" t="s">
        <v>35</v>
      </c>
      <c r="O544">
        <v>0</v>
      </c>
      <c r="P544">
        <v>0</v>
      </c>
      <c r="Q544">
        <v>0</v>
      </c>
      <c r="R544">
        <v>1</v>
      </c>
      <c r="S544">
        <v>0</v>
      </c>
      <c r="T544">
        <v>0</v>
      </c>
      <c r="U544">
        <v>1</v>
      </c>
      <c r="V544">
        <v>0</v>
      </c>
      <c r="W544" s="8">
        <v>1</v>
      </c>
      <c r="X544" s="8">
        <v>1</v>
      </c>
      <c r="Y544" s="8">
        <v>0</v>
      </c>
      <c r="Z544" s="8" t="s">
        <v>232</v>
      </c>
      <c r="AA544" s="8" t="s">
        <v>479</v>
      </c>
      <c r="AB544" t="s">
        <v>21</v>
      </c>
      <c r="AC544" s="8"/>
      <c r="AD544" t="s">
        <v>503</v>
      </c>
    </row>
    <row r="545" spans="1:30">
      <c r="A545" s="8">
        <v>2015</v>
      </c>
      <c r="B545" s="8">
        <v>165</v>
      </c>
      <c r="D545" s="8" t="s">
        <v>18</v>
      </c>
      <c r="F545" t="s">
        <v>19</v>
      </c>
      <c r="G545" s="8" t="s">
        <v>482</v>
      </c>
      <c r="H545" t="s">
        <v>483</v>
      </c>
      <c r="I545" s="8" t="s">
        <v>22</v>
      </c>
      <c r="J545" t="s">
        <v>24</v>
      </c>
      <c r="K545" s="8" t="s">
        <v>41</v>
      </c>
      <c r="L545" t="s">
        <v>35</v>
      </c>
      <c r="O545">
        <v>0</v>
      </c>
      <c r="P545">
        <v>0</v>
      </c>
      <c r="Q545">
        <v>0</v>
      </c>
      <c r="R545">
        <v>1</v>
      </c>
      <c r="S545">
        <v>0</v>
      </c>
      <c r="T545">
        <v>0</v>
      </c>
      <c r="U545">
        <v>1</v>
      </c>
      <c r="V545">
        <v>0</v>
      </c>
      <c r="W545" s="8">
        <v>1</v>
      </c>
      <c r="X545" s="8">
        <v>1</v>
      </c>
      <c r="Y545" s="8">
        <v>0</v>
      </c>
      <c r="Z545" s="8" t="s">
        <v>232</v>
      </c>
      <c r="AA545" s="8" t="s">
        <v>479</v>
      </c>
      <c r="AB545" t="s">
        <v>21</v>
      </c>
      <c r="AC545" s="8"/>
      <c r="AD545" t="s">
        <v>503</v>
      </c>
    </row>
    <row r="546" spans="1:30">
      <c r="A546" s="8">
        <v>2015</v>
      </c>
      <c r="B546" s="8">
        <v>165</v>
      </c>
      <c r="D546" s="8" t="s">
        <v>18</v>
      </c>
      <c r="F546" t="s">
        <v>19</v>
      </c>
      <c r="G546" s="8" t="s">
        <v>196</v>
      </c>
      <c r="H546" t="s">
        <v>197</v>
      </c>
      <c r="I546" s="8" t="s">
        <v>22</v>
      </c>
      <c r="J546" t="s">
        <v>24</v>
      </c>
      <c r="K546" s="8" t="s">
        <v>41</v>
      </c>
      <c r="L546" t="s">
        <v>35</v>
      </c>
      <c r="O546">
        <v>0</v>
      </c>
      <c r="P546">
        <v>0</v>
      </c>
      <c r="Q546">
        <v>0</v>
      </c>
      <c r="R546">
        <v>1</v>
      </c>
      <c r="S546">
        <v>0</v>
      </c>
      <c r="T546">
        <v>0</v>
      </c>
      <c r="U546">
        <v>1</v>
      </c>
      <c r="V546">
        <v>0</v>
      </c>
      <c r="W546" s="8">
        <v>1</v>
      </c>
      <c r="X546" s="8">
        <v>1</v>
      </c>
      <c r="Y546" s="8">
        <v>0</v>
      </c>
      <c r="Z546" s="8" t="s">
        <v>232</v>
      </c>
      <c r="AA546" s="8" t="s">
        <v>479</v>
      </c>
      <c r="AB546" t="s">
        <v>21</v>
      </c>
      <c r="AC546" s="8"/>
      <c r="AD546" t="s">
        <v>503</v>
      </c>
    </row>
    <row r="547" spans="1:30">
      <c r="A547" s="8">
        <v>2015</v>
      </c>
      <c r="B547" s="8">
        <v>165</v>
      </c>
      <c r="D547" s="8" t="s">
        <v>18</v>
      </c>
      <c r="F547" t="s">
        <v>19</v>
      </c>
      <c r="G547" s="8" t="s">
        <v>26</v>
      </c>
      <c r="I547" s="8" t="s">
        <v>22</v>
      </c>
      <c r="J547" t="s">
        <v>24</v>
      </c>
      <c r="K547" s="8" t="s">
        <v>41</v>
      </c>
      <c r="L547" t="s">
        <v>35</v>
      </c>
      <c r="O547">
        <v>0</v>
      </c>
      <c r="P547">
        <v>0</v>
      </c>
      <c r="Q547">
        <v>0</v>
      </c>
      <c r="R547">
        <v>1</v>
      </c>
      <c r="S547">
        <v>0</v>
      </c>
      <c r="T547">
        <v>0</v>
      </c>
      <c r="U547">
        <v>1</v>
      </c>
      <c r="V547">
        <v>1</v>
      </c>
      <c r="W547" s="8">
        <v>1</v>
      </c>
      <c r="X547" s="8">
        <v>1</v>
      </c>
      <c r="Y547" s="8">
        <v>0</v>
      </c>
      <c r="Z547" s="8" t="s">
        <v>232</v>
      </c>
      <c r="AA547" s="8" t="s">
        <v>479</v>
      </c>
      <c r="AB547" t="s">
        <v>21</v>
      </c>
      <c r="AC547" s="8"/>
      <c r="AD547" t="s">
        <v>503</v>
      </c>
    </row>
    <row r="548" spans="1:30">
      <c r="A548" s="8">
        <v>2015</v>
      </c>
      <c r="B548" s="8">
        <v>165</v>
      </c>
      <c r="D548" s="8" t="s">
        <v>18</v>
      </c>
      <c r="F548" t="s">
        <v>19</v>
      </c>
      <c r="G548" s="8" t="s">
        <v>386</v>
      </c>
      <c r="I548" s="8" t="s">
        <v>22</v>
      </c>
      <c r="J548" t="s">
        <v>24</v>
      </c>
      <c r="K548" s="8" t="s">
        <v>41</v>
      </c>
      <c r="L548" t="s">
        <v>35</v>
      </c>
      <c r="O548">
        <v>0</v>
      </c>
      <c r="P548">
        <v>0</v>
      </c>
      <c r="Q548">
        <v>0</v>
      </c>
      <c r="R548">
        <v>1</v>
      </c>
      <c r="S548">
        <v>0</v>
      </c>
      <c r="T548">
        <v>0</v>
      </c>
      <c r="U548">
        <v>1</v>
      </c>
      <c r="V548">
        <v>1</v>
      </c>
      <c r="W548" s="8">
        <v>1</v>
      </c>
      <c r="X548" s="8">
        <v>1</v>
      </c>
      <c r="Y548" s="8">
        <v>0</v>
      </c>
      <c r="Z548" s="8" t="s">
        <v>232</v>
      </c>
      <c r="AA548" s="8" t="s">
        <v>479</v>
      </c>
      <c r="AB548" t="s">
        <v>21</v>
      </c>
      <c r="AC548" s="8"/>
      <c r="AD548" t="s">
        <v>503</v>
      </c>
    </row>
    <row r="549" spans="1:30">
      <c r="A549" s="8">
        <v>2015</v>
      </c>
      <c r="B549" s="8">
        <v>166</v>
      </c>
      <c r="D549" s="8" t="s">
        <v>18</v>
      </c>
      <c r="F549" t="s">
        <v>19</v>
      </c>
      <c r="G549" s="8" t="s">
        <v>35</v>
      </c>
      <c r="I549" s="8"/>
      <c r="K549" s="8" t="s">
        <v>25</v>
      </c>
      <c r="L549" t="s">
        <v>35</v>
      </c>
      <c r="O549">
        <v>0</v>
      </c>
      <c r="P549">
        <v>1</v>
      </c>
      <c r="Q549">
        <v>1</v>
      </c>
      <c r="R549">
        <v>0</v>
      </c>
      <c r="S549">
        <v>0</v>
      </c>
      <c r="T549">
        <v>0</v>
      </c>
      <c r="U549">
        <v>1</v>
      </c>
      <c r="V549">
        <v>0</v>
      </c>
      <c r="W549" s="8">
        <v>1</v>
      </c>
      <c r="X549">
        <v>1</v>
      </c>
      <c r="Y549">
        <v>0</v>
      </c>
      <c r="Z549" s="8" t="s">
        <v>233</v>
      </c>
      <c r="AA549" s="8" t="s">
        <v>488</v>
      </c>
      <c r="AB549" t="s">
        <v>21</v>
      </c>
      <c r="AD549" t="s">
        <v>502</v>
      </c>
    </row>
    <row r="550" spans="1:30">
      <c r="A550" s="8">
        <v>2015</v>
      </c>
      <c r="B550" s="8">
        <v>166</v>
      </c>
      <c r="D550" s="8" t="s">
        <v>18</v>
      </c>
      <c r="F550" t="s">
        <v>19</v>
      </c>
      <c r="G550" s="8" t="s">
        <v>152</v>
      </c>
      <c r="H550" t="s">
        <v>184</v>
      </c>
      <c r="I550" s="8"/>
      <c r="K550" s="8" t="s">
        <v>25</v>
      </c>
      <c r="L550" t="s">
        <v>35</v>
      </c>
      <c r="O550">
        <v>0</v>
      </c>
      <c r="P550">
        <v>1</v>
      </c>
      <c r="Q550">
        <v>0</v>
      </c>
      <c r="R550">
        <v>0</v>
      </c>
      <c r="S550">
        <v>0</v>
      </c>
      <c r="T550">
        <v>0</v>
      </c>
      <c r="U550">
        <v>0</v>
      </c>
      <c r="V550">
        <v>0</v>
      </c>
      <c r="W550" s="8">
        <v>1</v>
      </c>
      <c r="X550" s="8">
        <v>1</v>
      </c>
      <c r="Y550" s="8">
        <v>0</v>
      </c>
      <c r="Z550" s="8" t="s">
        <v>233</v>
      </c>
      <c r="AA550" s="8" t="s">
        <v>488</v>
      </c>
      <c r="AB550" t="s">
        <v>21</v>
      </c>
      <c r="AD550" t="s">
        <v>502</v>
      </c>
    </row>
    <row r="551" spans="1:30">
      <c r="A551" s="8">
        <v>2015</v>
      </c>
      <c r="B551" s="8">
        <v>166</v>
      </c>
      <c r="D551" s="8" t="s">
        <v>18</v>
      </c>
      <c r="F551" t="s">
        <v>19</v>
      </c>
      <c r="G551" s="8" t="s">
        <v>22</v>
      </c>
      <c r="H551" t="s">
        <v>24</v>
      </c>
      <c r="I551" s="8"/>
      <c r="K551" s="8" t="s">
        <v>25</v>
      </c>
      <c r="L551" t="s">
        <v>35</v>
      </c>
      <c r="O551">
        <v>0</v>
      </c>
      <c r="P551">
        <v>1</v>
      </c>
      <c r="Q551">
        <v>0</v>
      </c>
      <c r="R551">
        <v>0</v>
      </c>
      <c r="S551">
        <v>0</v>
      </c>
      <c r="T551">
        <v>0</v>
      </c>
      <c r="U551">
        <v>0</v>
      </c>
      <c r="V551">
        <v>0</v>
      </c>
      <c r="W551" s="8">
        <v>1</v>
      </c>
      <c r="X551" s="8">
        <v>1</v>
      </c>
      <c r="Y551" s="8">
        <v>0</v>
      </c>
      <c r="Z551" s="8" t="s">
        <v>233</v>
      </c>
      <c r="AA551" s="8" t="s">
        <v>488</v>
      </c>
      <c r="AB551" t="s">
        <v>21</v>
      </c>
      <c r="AD551" t="s">
        <v>502</v>
      </c>
    </row>
    <row r="552" spans="1:30">
      <c r="A552" s="8">
        <v>2015</v>
      </c>
      <c r="B552" s="8">
        <v>166</v>
      </c>
      <c r="D552" s="8" t="s">
        <v>18</v>
      </c>
      <c r="F552" t="s">
        <v>19</v>
      </c>
      <c r="G552" s="8" t="s">
        <v>191</v>
      </c>
      <c r="H552" t="s">
        <v>194</v>
      </c>
      <c r="I552" s="8"/>
      <c r="K552" s="8" t="s">
        <v>25</v>
      </c>
      <c r="L552" t="s">
        <v>35</v>
      </c>
      <c r="O552">
        <v>0</v>
      </c>
      <c r="P552">
        <v>1</v>
      </c>
      <c r="Q552">
        <v>0</v>
      </c>
      <c r="R552">
        <v>0</v>
      </c>
      <c r="S552">
        <v>0</v>
      </c>
      <c r="T552">
        <v>0</v>
      </c>
      <c r="U552">
        <v>0</v>
      </c>
      <c r="V552">
        <v>0</v>
      </c>
      <c r="W552" s="8">
        <v>1</v>
      </c>
      <c r="X552">
        <v>1</v>
      </c>
      <c r="Y552" s="8">
        <v>0</v>
      </c>
      <c r="Z552" s="8" t="s">
        <v>233</v>
      </c>
      <c r="AA552" s="8" t="s">
        <v>488</v>
      </c>
      <c r="AB552" t="s">
        <v>21</v>
      </c>
      <c r="AD552" t="s">
        <v>502</v>
      </c>
    </row>
    <row r="553" spans="1:30">
      <c r="A553" s="8">
        <v>2015</v>
      </c>
      <c r="B553" s="8">
        <v>166</v>
      </c>
      <c r="D553" s="8" t="s">
        <v>18</v>
      </c>
      <c r="F553" t="s">
        <v>19</v>
      </c>
      <c r="G553" s="8" t="s">
        <v>192</v>
      </c>
      <c r="H553" t="s">
        <v>195</v>
      </c>
      <c r="I553" s="8"/>
      <c r="K553" s="8" t="s">
        <v>25</v>
      </c>
      <c r="L553" t="s">
        <v>35</v>
      </c>
      <c r="O553">
        <v>0</v>
      </c>
      <c r="P553">
        <v>1</v>
      </c>
      <c r="Q553">
        <v>0</v>
      </c>
      <c r="R553">
        <v>0</v>
      </c>
      <c r="S553">
        <v>0</v>
      </c>
      <c r="T553">
        <v>0</v>
      </c>
      <c r="U553">
        <v>0</v>
      </c>
      <c r="V553">
        <v>0</v>
      </c>
      <c r="W553" s="8">
        <v>1</v>
      </c>
      <c r="X553">
        <v>1</v>
      </c>
      <c r="Y553" s="8">
        <v>0</v>
      </c>
      <c r="Z553" s="8" t="s">
        <v>233</v>
      </c>
      <c r="AA553" s="8" t="s">
        <v>488</v>
      </c>
      <c r="AB553" t="s">
        <v>21</v>
      </c>
      <c r="AD553" t="s">
        <v>502</v>
      </c>
    </row>
    <row r="554" spans="1:30">
      <c r="A554" s="8">
        <v>2015</v>
      </c>
      <c r="B554" s="8">
        <v>166</v>
      </c>
      <c r="D554" s="8" t="s">
        <v>18</v>
      </c>
      <c r="F554" t="s">
        <v>19</v>
      </c>
      <c r="G554" s="8" t="s">
        <v>60</v>
      </c>
      <c r="H554" t="s">
        <v>61</v>
      </c>
      <c r="I554" s="8"/>
      <c r="K554" s="8" t="s">
        <v>25</v>
      </c>
      <c r="L554" t="s">
        <v>35</v>
      </c>
      <c r="O554">
        <v>0</v>
      </c>
      <c r="P554">
        <v>1</v>
      </c>
      <c r="Q554">
        <v>0</v>
      </c>
      <c r="R554">
        <v>0</v>
      </c>
      <c r="S554">
        <v>0</v>
      </c>
      <c r="T554">
        <v>0</v>
      </c>
      <c r="U554">
        <v>0</v>
      </c>
      <c r="V554">
        <v>0</v>
      </c>
      <c r="W554" s="8">
        <v>1</v>
      </c>
      <c r="X554">
        <v>1</v>
      </c>
      <c r="Y554" s="8">
        <v>0</v>
      </c>
      <c r="Z554" s="8" t="s">
        <v>233</v>
      </c>
      <c r="AA554" s="8" t="s">
        <v>488</v>
      </c>
      <c r="AB554" t="s">
        <v>21</v>
      </c>
      <c r="AD554" t="s">
        <v>502</v>
      </c>
    </row>
    <row r="555" spans="1:30">
      <c r="A555" s="8">
        <v>2016</v>
      </c>
      <c r="B555" s="8">
        <v>167</v>
      </c>
      <c r="C555" s="8"/>
      <c r="D555" s="8" t="s">
        <v>60</v>
      </c>
      <c r="E555" t="s">
        <v>209</v>
      </c>
      <c r="F555" t="s">
        <v>61</v>
      </c>
      <c r="G555" s="8" t="s">
        <v>26</v>
      </c>
      <c r="I555" s="8" t="s">
        <v>22</v>
      </c>
      <c r="J555" t="s">
        <v>24</v>
      </c>
      <c r="K555" s="8" t="s">
        <v>25</v>
      </c>
      <c r="L555" t="s">
        <v>26</v>
      </c>
      <c r="O555">
        <v>1</v>
      </c>
      <c r="P555">
        <v>1</v>
      </c>
      <c r="Q555">
        <v>1</v>
      </c>
      <c r="R555">
        <v>0</v>
      </c>
      <c r="S555">
        <v>0</v>
      </c>
      <c r="T555">
        <v>0</v>
      </c>
      <c r="U555">
        <v>0</v>
      </c>
      <c r="V555">
        <v>0</v>
      </c>
      <c r="W555" s="8">
        <v>0</v>
      </c>
      <c r="X555">
        <v>0</v>
      </c>
      <c r="Y555">
        <v>0</v>
      </c>
      <c r="Z555" s="8"/>
      <c r="AA555" s="8" t="s">
        <v>489</v>
      </c>
      <c r="AB555" t="s">
        <v>21</v>
      </c>
    </row>
    <row r="556" spans="1:30">
      <c r="A556" s="8">
        <v>2016</v>
      </c>
      <c r="B556" s="8">
        <v>168</v>
      </c>
      <c r="C556" s="8"/>
      <c r="D556" s="8" t="s">
        <v>60</v>
      </c>
      <c r="E556" t="s">
        <v>209</v>
      </c>
      <c r="F556" t="s">
        <v>61</v>
      </c>
      <c r="G556" s="8" t="s">
        <v>193</v>
      </c>
      <c r="H556" s="8" t="s">
        <v>185</v>
      </c>
      <c r="I556" s="8" t="s">
        <v>156</v>
      </c>
      <c r="J556" t="s">
        <v>189</v>
      </c>
      <c r="K556" s="8" t="s">
        <v>41</v>
      </c>
      <c r="L556" t="s">
        <v>156</v>
      </c>
      <c r="M556" s="8" t="s">
        <v>193</v>
      </c>
      <c r="O556">
        <v>1</v>
      </c>
      <c r="P556">
        <v>0</v>
      </c>
      <c r="Q556">
        <v>0</v>
      </c>
      <c r="R556">
        <v>0</v>
      </c>
      <c r="S556">
        <v>0</v>
      </c>
      <c r="T556">
        <v>0</v>
      </c>
      <c r="U556">
        <v>0</v>
      </c>
      <c r="V556">
        <v>0</v>
      </c>
      <c r="W556" s="8">
        <v>0</v>
      </c>
      <c r="X556">
        <v>0</v>
      </c>
      <c r="Y556">
        <v>0</v>
      </c>
      <c r="Z556" s="8"/>
      <c r="AA556" s="8" t="s">
        <v>490</v>
      </c>
      <c r="AB556" t="s">
        <v>21</v>
      </c>
    </row>
    <row r="557" spans="1:30">
      <c r="A557" s="8">
        <v>2016</v>
      </c>
      <c r="B557" s="8">
        <v>168</v>
      </c>
      <c r="C557" s="8"/>
      <c r="D557" s="8" t="s">
        <v>60</v>
      </c>
      <c r="E557" t="s">
        <v>209</v>
      </c>
      <c r="F557" t="s">
        <v>61</v>
      </c>
      <c r="G557" s="8" t="s">
        <v>156</v>
      </c>
      <c r="H557" s="8" t="s">
        <v>189</v>
      </c>
      <c r="I557" s="8" t="s">
        <v>156</v>
      </c>
      <c r="J557" t="s">
        <v>189</v>
      </c>
      <c r="K557" s="8" t="s">
        <v>41</v>
      </c>
      <c r="L557" t="s">
        <v>156</v>
      </c>
      <c r="M557" s="8" t="s">
        <v>193</v>
      </c>
      <c r="O557">
        <v>1</v>
      </c>
      <c r="P557">
        <v>0</v>
      </c>
      <c r="Q557">
        <v>1</v>
      </c>
      <c r="R557">
        <v>0</v>
      </c>
      <c r="S557">
        <v>0</v>
      </c>
      <c r="T557">
        <v>0</v>
      </c>
      <c r="U557">
        <v>0</v>
      </c>
      <c r="V557">
        <v>0</v>
      </c>
      <c r="W557" s="8">
        <v>0</v>
      </c>
      <c r="X557">
        <v>0</v>
      </c>
      <c r="Y557">
        <v>0</v>
      </c>
      <c r="Z557" s="8"/>
      <c r="AA557" s="8" t="s">
        <v>490</v>
      </c>
      <c r="AB557" t="s">
        <v>21</v>
      </c>
    </row>
    <row r="558" spans="1:30">
      <c r="A558" s="8">
        <v>2016</v>
      </c>
      <c r="B558" s="8">
        <v>169</v>
      </c>
      <c r="C558" s="8"/>
      <c r="D558" s="8" t="s">
        <v>60</v>
      </c>
      <c r="E558" t="s">
        <v>209</v>
      </c>
      <c r="F558" t="s">
        <v>61</v>
      </c>
      <c r="G558" s="8" t="s">
        <v>26</v>
      </c>
      <c r="I558" s="8" t="s">
        <v>22</v>
      </c>
      <c r="J558" t="s">
        <v>24</v>
      </c>
      <c r="K558" s="8" t="s">
        <v>25</v>
      </c>
      <c r="L558" t="s">
        <v>26</v>
      </c>
      <c r="O558">
        <v>1</v>
      </c>
      <c r="P558">
        <v>0</v>
      </c>
      <c r="Q558">
        <v>1</v>
      </c>
      <c r="R558">
        <v>0</v>
      </c>
      <c r="S558">
        <v>0</v>
      </c>
      <c r="T558">
        <v>0</v>
      </c>
      <c r="U558">
        <v>0</v>
      </c>
      <c r="V558">
        <v>0</v>
      </c>
      <c r="W558" s="8">
        <v>0</v>
      </c>
      <c r="X558">
        <v>0</v>
      </c>
      <c r="Y558">
        <v>0</v>
      </c>
      <c r="Z558" s="8"/>
      <c r="AA558" s="8" t="s">
        <v>491</v>
      </c>
      <c r="AB558" t="s">
        <v>21</v>
      </c>
    </row>
    <row r="559" spans="1:30">
      <c r="A559" s="8">
        <v>2016</v>
      </c>
      <c r="B559" s="8">
        <v>170</v>
      </c>
      <c r="D559" s="8" t="s">
        <v>60</v>
      </c>
      <c r="E559" t="s">
        <v>254</v>
      </c>
      <c r="F559" t="s">
        <v>61</v>
      </c>
      <c r="G559" s="8" t="s">
        <v>157</v>
      </c>
      <c r="H559" t="s">
        <v>190</v>
      </c>
      <c r="I559" s="8" t="s">
        <v>222</v>
      </c>
      <c r="J559" t="s">
        <v>227</v>
      </c>
      <c r="K559" s="8" t="s">
        <v>65</v>
      </c>
      <c r="L559" t="s">
        <v>157</v>
      </c>
      <c r="O559">
        <v>1</v>
      </c>
      <c r="P559">
        <v>0</v>
      </c>
      <c r="Q559">
        <v>0</v>
      </c>
      <c r="R559">
        <v>0</v>
      </c>
      <c r="S559">
        <v>0</v>
      </c>
      <c r="T559">
        <v>0</v>
      </c>
      <c r="U559">
        <v>0</v>
      </c>
      <c r="V559">
        <v>0</v>
      </c>
      <c r="W559" s="8">
        <v>0</v>
      </c>
      <c r="X559">
        <v>0</v>
      </c>
      <c r="Y559">
        <v>0</v>
      </c>
      <c r="Z559" s="8"/>
      <c r="AA559" s="8" t="s">
        <v>492</v>
      </c>
      <c r="AB559" t="s">
        <v>21</v>
      </c>
    </row>
    <row r="560" spans="1:30">
      <c r="A560" s="8">
        <v>2016</v>
      </c>
      <c r="B560" s="8">
        <v>171</v>
      </c>
      <c r="D560" s="8" t="s">
        <v>60</v>
      </c>
      <c r="E560" t="s">
        <v>254</v>
      </c>
      <c r="F560" t="s">
        <v>61</v>
      </c>
      <c r="G560" s="8" t="s">
        <v>223</v>
      </c>
      <c r="I560" s="8" t="s">
        <v>223</v>
      </c>
      <c r="J560" t="s">
        <v>228</v>
      </c>
      <c r="K560" s="8" t="s">
        <v>65</v>
      </c>
      <c r="L560" t="s">
        <v>223</v>
      </c>
      <c r="O560">
        <v>1</v>
      </c>
      <c r="P560">
        <v>0</v>
      </c>
      <c r="Q560">
        <v>1</v>
      </c>
      <c r="R560">
        <v>0</v>
      </c>
      <c r="S560">
        <v>0</v>
      </c>
      <c r="T560">
        <v>0</v>
      </c>
      <c r="U560">
        <v>0</v>
      </c>
      <c r="V560">
        <v>0</v>
      </c>
      <c r="W560" s="8">
        <v>0</v>
      </c>
      <c r="X560">
        <v>0</v>
      </c>
      <c r="Y560">
        <v>0</v>
      </c>
      <c r="Z560" s="8"/>
      <c r="AA560" s="8" t="s">
        <v>493</v>
      </c>
      <c r="AB560" t="s">
        <v>21</v>
      </c>
    </row>
    <row r="561" spans="1:28">
      <c r="A561" s="8">
        <v>2016</v>
      </c>
      <c r="B561" s="8">
        <v>172</v>
      </c>
      <c r="D561" s="8" t="s">
        <v>60</v>
      </c>
      <c r="E561" t="s">
        <v>254</v>
      </c>
      <c r="F561" t="s">
        <v>61</v>
      </c>
      <c r="G561" s="8" t="s">
        <v>26</v>
      </c>
      <c r="I561" s="8" t="s">
        <v>22</v>
      </c>
      <c r="J561" t="s">
        <v>24</v>
      </c>
      <c r="K561" s="8" t="s">
        <v>25</v>
      </c>
      <c r="L561" t="s">
        <v>26</v>
      </c>
      <c r="O561">
        <v>0</v>
      </c>
      <c r="P561">
        <v>1</v>
      </c>
      <c r="Q561">
        <v>1</v>
      </c>
      <c r="R561">
        <v>0</v>
      </c>
      <c r="S561">
        <v>0</v>
      </c>
      <c r="T561">
        <v>0</v>
      </c>
      <c r="U561">
        <v>0</v>
      </c>
      <c r="V561">
        <v>0</v>
      </c>
      <c r="W561" s="8">
        <v>0</v>
      </c>
      <c r="X561">
        <v>0</v>
      </c>
      <c r="Y561">
        <v>0</v>
      </c>
      <c r="Z561" s="8"/>
      <c r="AA561" s="8" t="s">
        <v>494</v>
      </c>
      <c r="AB561" t="s">
        <v>21</v>
      </c>
    </row>
    <row r="562" spans="1:28">
      <c r="A562" s="8">
        <v>2016</v>
      </c>
      <c r="B562" s="8">
        <v>172</v>
      </c>
      <c r="D562" s="8" t="s">
        <v>60</v>
      </c>
      <c r="E562" t="s">
        <v>254</v>
      </c>
      <c r="F562" t="s">
        <v>61</v>
      </c>
      <c r="G562" s="8" t="s">
        <v>22</v>
      </c>
      <c r="I562" s="8" t="s">
        <v>22</v>
      </c>
      <c r="J562" t="s">
        <v>24</v>
      </c>
      <c r="K562" s="8" t="s">
        <v>25</v>
      </c>
      <c r="L562" t="s">
        <v>26</v>
      </c>
      <c r="O562">
        <v>0</v>
      </c>
      <c r="P562">
        <v>0</v>
      </c>
      <c r="Q562">
        <v>1</v>
      </c>
      <c r="R562">
        <v>0</v>
      </c>
      <c r="S562">
        <v>0</v>
      </c>
      <c r="T562">
        <v>0</v>
      </c>
      <c r="U562">
        <v>0</v>
      </c>
      <c r="V562">
        <v>0</v>
      </c>
      <c r="W562" s="8">
        <v>0</v>
      </c>
      <c r="X562">
        <v>0</v>
      </c>
      <c r="Y562">
        <v>0</v>
      </c>
      <c r="Z562" s="8"/>
      <c r="AA562" s="8" t="s">
        <v>494</v>
      </c>
      <c r="AB562" t="s">
        <v>21</v>
      </c>
    </row>
    <row r="563" spans="1:28">
      <c r="A563" s="8">
        <v>2016</v>
      </c>
      <c r="B563" s="8">
        <v>173</v>
      </c>
      <c r="D563" s="8" t="s">
        <v>60</v>
      </c>
      <c r="E563" t="s">
        <v>209</v>
      </c>
      <c r="F563" t="s">
        <v>61</v>
      </c>
      <c r="G563" s="8" t="s">
        <v>26</v>
      </c>
      <c r="I563" s="8" t="s">
        <v>22</v>
      </c>
      <c r="J563" t="s">
        <v>24</v>
      </c>
      <c r="K563" s="8" t="s">
        <v>41</v>
      </c>
      <c r="L563" t="s">
        <v>193</v>
      </c>
      <c r="O563">
        <v>0</v>
      </c>
      <c r="P563">
        <v>1</v>
      </c>
      <c r="Q563">
        <v>0</v>
      </c>
      <c r="R563">
        <v>0</v>
      </c>
      <c r="S563">
        <v>0</v>
      </c>
      <c r="T563">
        <v>0</v>
      </c>
      <c r="U563">
        <v>0</v>
      </c>
      <c r="V563">
        <v>0</v>
      </c>
      <c r="W563" s="8">
        <v>0</v>
      </c>
      <c r="X563">
        <v>0</v>
      </c>
      <c r="Y563">
        <v>0</v>
      </c>
      <c r="Z563" s="8"/>
      <c r="AA563" s="8" t="s">
        <v>495</v>
      </c>
      <c r="AB563" t="s">
        <v>21</v>
      </c>
    </row>
    <row r="564" spans="1:28">
      <c r="A564" s="8">
        <v>2016</v>
      </c>
      <c r="B564" s="8">
        <v>173</v>
      </c>
      <c r="D564" s="8" t="s">
        <v>60</v>
      </c>
      <c r="E564" t="s">
        <v>209</v>
      </c>
      <c r="F564" t="s">
        <v>61</v>
      </c>
      <c r="G564" s="8" t="s">
        <v>193</v>
      </c>
      <c r="H564" t="s">
        <v>185</v>
      </c>
      <c r="I564" s="8" t="s">
        <v>22</v>
      </c>
      <c r="J564" t="s">
        <v>24</v>
      </c>
      <c r="K564" s="8" t="s">
        <v>41</v>
      </c>
      <c r="L564" t="s">
        <v>193</v>
      </c>
      <c r="O564">
        <v>0</v>
      </c>
      <c r="P564">
        <v>1</v>
      </c>
      <c r="Q564">
        <v>1</v>
      </c>
      <c r="R564">
        <v>0</v>
      </c>
      <c r="S564">
        <v>0</v>
      </c>
      <c r="T564">
        <v>0</v>
      </c>
      <c r="U564">
        <v>0</v>
      </c>
      <c r="V564">
        <v>0</v>
      </c>
      <c r="W564" s="8">
        <v>0</v>
      </c>
      <c r="X564">
        <v>0</v>
      </c>
      <c r="Y564">
        <v>0</v>
      </c>
      <c r="Z564" s="8"/>
      <c r="AA564" s="8" t="s">
        <v>495</v>
      </c>
      <c r="AB564" t="s">
        <v>21</v>
      </c>
    </row>
    <row r="565" spans="1:28">
      <c r="A565" s="8">
        <v>2016</v>
      </c>
      <c r="B565" s="8">
        <v>173</v>
      </c>
      <c r="D565" s="8" t="s">
        <v>60</v>
      </c>
      <c r="E565" t="s">
        <v>209</v>
      </c>
      <c r="F565" t="s">
        <v>61</v>
      </c>
      <c r="G565" s="8" t="s">
        <v>22</v>
      </c>
      <c r="H565" t="s">
        <v>24</v>
      </c>
      <c r="I565" s="8" t="s">
        <v>22</v>
      </c>
      <c r="J565" t="s">
        <v>24</v>
      </c>
      <c r="K565" s="8" t="s">
        <v>41</v>
      </c>
      <c r="L565" t="s">
        <v>193</v>
      </c>
      <c r="O565">
        <v>0</v>
      </c>
      <c r="P565">
        <v>0</v>
      </c>
      <c r="Q565">
        <v>0</v>
      </c>
      <c r="R565">
        <v>0</v>
      </c>
      <c r="S565">
        <v>0</v>
      </c>
      <c r="T565">
        <v>0</v>
      </c>
      <c r="U565">
        <v>0</v>
      </c>
      <c r="V565">
        <v>0</v>
      </c>
      <c r="W565" s="8">
        <v>0</v>
      </c>
      <c r="X565">
        <v>0</v>
      </c>
      <c r="Y565">
        <v>0</v>
      </c>
      <c r="Z565" s="8"/>
      <c r="AA565" s="8" t="s">
        <v>495</v>
      </c>
      <c r="AB565" t="s">
        <v>21</v>
      </c>
    </row>
    <row r="566" spans="1:28">
      <c r="A566" s="8">
        <v>2016</v>
      </c>
      <c r="B566" s="8">
        <v>174</v>
      </c>
      <c r="D566" s="8" t="s">
        <v>60</v>
      </c>
      <c r="E566" t="s">
        <v>209</v>
      </c>
      <c r="F566" t="s">
        <v>61</v>
      </c>
      <c r="G566" s="8" t="s">
        <v>26</v>
      </c>
      <c r="I566" s="8"/>
      <c r="K566" s="8" t="s">
        <v>25</v>
      </c>
      <c r="L566" t="s">
        <v>26</v>
      </c>
      <c r="O566">
        <v>0</v>
      </c>
      <c r="P566">
        <v>1</v>
      </c>
      <c r="Q566">
        <v>1</v>
      </c>
      <c r="R566">
        <v>0</v>
      </c>
      <c r="S566">
        <v>0</v>
      </c>
      <c r="T566">
        <v>0</v>
      </c>
      <c r="U566">
        <v>0</v>
      </c>
      <c r="V566">
        <v>0</v>
      </c>
      <c r="W566" s="8">
        <v>0</v>
      </c>
      <c r="X566">
        <v>0</v>
      </c>
      <c r="Y566">
        <v>0</v>
      </c>
      <c r="Z566" s="8"/>
      <c r="AA566" s="8" t="s">
        <v>496</v>
      </c>
      <c r="AB566" t="s">
        <v>21</v>
      </c>
    </row>
    <row r="567" spans="1:28">
      <c r="A567" s="8">
        <v>2016</v>
      </c>
      <c r="B567" s="8">
        <v>174</v>
      </c>
      <c r="D567" s="8" t="s">
        <v>60</v>
      </c>
      <c r="E567" s="12" t="s">
        <v>254</v>
      </c>
      <c r="F567" t="s">
        <v>61</v>
      </c>
      <c r="G567" s="8" t="s">
        <v>26</v>
      </c>
      <c r="I567" s="8" t="s">
        <v>22</v>
      </c>
      <c r="J567" t="s">
        <v>24</v>
      </c>
      <c r="K567" s="8" t="s">
        <v>25</v>
      </c>
      <c r="L567" t="s">
        <v>26</v>
      </c>
      <c r="O567">
        <v>0</v>
      </c>
      <c r="P567">
        <v>1</v>
      </c>
      <c r="Q567">
        <v>1</v>
      </c>
      <c r="R567">
        <v>0</v>
      </c>
      <c r="S567">
        <v>0</v>
      </c>
      <c r="T567">
        <v>0</v>
      </c>
      <c r="U567">
        <v>0</v>
      </c>
      <c r="V567">
        <v>0</v>
      </c>
      <c r="W567" s="8">
        <v>1</v>
      </c>
      <c r="X567">
        <v>1</v>
      </c>
      <c r="Y567">
        <v>0</v>
      </c>
      <c r="Z567" s="8" t="s">
        <v>224</v>
      </c>
      <c r="AA567" s="8" t="s">
        <v>497</v>
      </c>
      <c r="AB567" t="s">
        <v>21</v>
      </c>
    </row>
    <row r="568" spans="1:28">
      <c r="A568" s="8">
        <v>2016</v>
      </c>
      <c r="B568" s="8">
        <v>174</v>
      </c>
      <c r="D568" s="8" t="s">
        <v>60</v>
      </c>
      <c r="E568" s="12" t="s">
        <v>254</v>
      </c>
      <c r="F568" t="s">
        <v>61</v>
      </c>
      <c r="G568" s="8" t="s">
        <v>22</v>
      </c>
      <c r="H568" t="s">
        <v>24</v>
      </c>
      <c r="I568" s="8" t="s">
        <v>22</v>
      </c>
      <c r="J568" t="s">
        <v>24</v>
      </c>
      <c r="K568" s="8" t="s">
        <v>25</v>
      </c>
      <c r="L568" t="s">
        <v>26</v>
      </c>
      <c r="O568">
        <v>0</v>
      </c>
      <c r="P568">
        <v>1</v>
      </c>
      <c r="Q568">
        <v>1</v>
      </c>
      <c r="R568">
        <v>0</v>
      </c>
      <c r="S568">
        <v>0</v>
      </c>
      <c r="T568">
        <v>0</v>
      </c>
      <c r="U568">
        <v>0</v>
      </c>
      <c r="V568">
        <v>0</v>
      </c>
      <c r="W568" s="8">
        <v>1</v>
      </c>
      <c r="X568">
        <v>1</v>
      </c>
      <c r="Y568">
        <v>0</v>
      </c>
      <c r="Z568" s="8" t="s">
        <v>224</v>
      </c>
      <c r="AA568" s="8" t="s">
        <v>497</v>
      </c>
      <c r="AB568" t="s">
        <v>21</v>
      </c>
    </row>
    <row r="569" spans="1:28">
      <c r="A569" s="8">
        <v>2017</v>
      </c>
      <c r="B569" s="8">
        <v>175</v>
      </c>
      <c r="D569" s="8" t="s">
        <v>60</v>
      </c>
      <c r="E569" s="12" t="s">
        <v>251</v>
      </c>
      <c r="F569" t="s">
        <v>61</v>
      </c>
      <c r="G569" s="8" t="s">
        <v>35</v>
      </c>
      <c r="I569" s="8"/>
      <c r="K569" s="8" t="s">
        <v>25</v>
      </c>
      <c r="L569" t="s">
        <v>26</v>
      </c>
      <c r="M569" t="s">
        <v>35</v>
      </c>
      <c r="O569">
        <v>1</v>
      </c>
      <c r="P569">
        <v>0</v>
      </c>
      <c r="Q569">
        <v>1</v>
      </c>
      <c r="R569">
        <v>0</v>
      </c>
      <c r="S569">
        <v>0</v>
      </c>
      <c r="T569">
        <v>0</v>
      </c>
      <c r="U569">
        <v>0</v>
      </c>
      <c r="V569">
        <v>0</v>
      </c>
      <c r="W569" s="8">
        <v>0</v>
      </c>
      <c r="X569">
        <v>0</v>
      </c>
      <c r="Y569">
        <v>0</v>
      </c>
      <c r="Z569" s="8"/>
      <c r="AA569" s="8" t="s">
        <v>498</v>
      </c>
      <c r="AB569" t="s">
        <v>21</v>
      </c>
    </row>
    <row r="570" spans="1:28">
      <c r="A570" s="8">
        <v>2017</v>
      </c>
      <c r="B570" s="8">
        <v>175</v>
      </c>
      <c r="D570" s="8" t="s">
        <v>60</v>
      </c>
      <c r="E570" s="12" t="s">
        <v>251</v>
      </c>
      <c r="F570" t="s">
        <v>61</v>
      </c>
      <c r="G570" s="8" t="s">
        <v>152</v>
      </c>
      <c r="H570" t="s">
        <v>184</v>
      </c>
      <c r="I570" s="8"/>
      <c r="K570" s="8" t="s">
        <v>25</v>
      </c>
      <c r="L570" t="s">
        <v>26</v>
      </c>
      <c r="M570" s="8" t="s">
        <v>35</v>
      </c>
      <c r="O570">
        <v>1</v>
      </c>
      <c r="P570">
        <v>0</v>
      </c>
      <c r="Q570">
        <v>0</v>
      </c>
      <c r="R570">
        <v>0</v>
      </c>
      <c r="S570">
        <v>0</v>
      </c>
      <c r="T570">
        <v>0</v>
      </c>
      <c r="U570">
        <v>0</v>
      </c>
      <c r="V570">
        <v>0</v>
      </c>
      <c r="W570" s="8">
        <v>0</v>
      </c>
      <c r="X570">
        <v>0</v>
      </c>
      <c r="Y570">
        <v>0</v>
      </c>
      <c r="Z570" s="8"/>
      <c r="AA570" s="8" t="s">
        <v>498</v>
      </c>
      <c r="AB570" t="s">
        <v>21</v>
      </c>
    </row>
    <row r="571" spans="1:28">
      <c r="A571" s="8">
        <v>2017</v>
      </c>
      <c r="B571" s="8">
        <v>175</v>
      </c>
      <c r="D571" s="8" t="s">
        <v>60</v>
      </c>
      <c r="E571" s="12" t="s">
        <v>251</v>
      </c>
      <c r="F571" t="s">
        <v>61</v>
      </c>
      <c r="G571" s="8" t="s">
        <v>22</v>
      </c>
      <c r="H571" t="s">
        <v>24</v>
      </c>
      <c r="I571" s="8"/>
      <c r="K571" s="8" t="s">
        <v>25</v>
      </c>
      <c r="L571" t="s">
        <v>26</v>
      </c>
      <c r="M571" s="8" t="s">
        <v>35</v>
      </c>
      <c r="O571">
        <v>1</v>
      </c>
      <c r="P571">
        <v>0</v>
      </c>
      <c r="Q571">
        <v>0</v>
      </c>
      <c r="R571">
        <v>0</v>
      </c>
      <c r="S571">
        <v>0</v>
      </c>
      <c r="T571">
        <v>0</v>
      </c>
      <c r="U571">
        <v>0</v>
      </c>
      <c r="V571">
        <v>0</v>
      </c>
      <c r="W571" s="8">
        <v>0</v>
      </c>
      <c r="X571">
        <v>0</v>
      </c>
      <c r="Y571">
        <v>0</v>
      </c>
      <c r="Z571" s="8"/>
      <c r="AA571" s="8" t="s">
        <v>498</v>
      </c>
      <c r="AB571" t="s">
        <v>21</v>
      </c>
    </row>
    <row r="572" spans="1:28">
      <c r="A572" s="8">
        <v>2017</v>
      </c>
      <c r="B572" s="8">
        <v>175</v>
      </c>
      <c r="D572" s="8" t="s">
        <v>60</v>
      </c>
      <c r="E572" s="12" t="s">
        <v>251</v>
      </c>
      <c r="F572" t="s">
        <v>61</v>
      </c>
      <c r="G572" s="8" t="s">
        <v>191</v>
      </c>
      <c r="H572" t="s">
        <v>194</v>
      </c>
      <c r="I572" s="8"/>
      <c r="K572" s="8" t="s">
        <v>25</v>
      </c>
      <c r="L572" t="s">
        <v>26</v>
      </c>
      <c r="M572" s="8" t="s">
        <v>35</v>
      </c>
      <c r="O572">
        <v>1</v>
      </c>
      <c r="P572">
        <v>0</v>
      </c>
      <c r="Q572">
        <v>0</v>
      </c>
      <c r="R572">
        <v>0</v>
      </c>
      <c r="S572">
        <v>0</v>
      </c>
      <c r="T572">
        <v>0</v>
      </c>
      <c r="U572">
        <v>0</v>
      </c>
      <c r="V572">
        <v>0</v>
      </c>
      <c r="W572" s="8">
        <v>0</v>
      </c>
      <c r="X572">
        <v>0</v>
      </c>
      <c r="Y572">
        <v>0</v>
      </c>
      <c r="Z572" s="8"/>
      <c r="AA572" s="8" t="s">
        <v>498</v>
      </c>
      <c r="AB572" t="s">
        <v>21</v>
      </c>
    </row>
    <row r="573" spans="1:28">
      <c r="A573" s="8">
        <v>2017</v>
      </c>
      <c r="B573" s="8">
        <v>175</v>
      </c>
      <c r="D573" s="8" t="s">
        <v>60</v>
      </c>
      <c r="E573" s="12" t="s">
        <v>251</v>
      </c>
      <c r="F573" t="s">
        <v>61</v>
      </c>
      <c r="G573" s="8" t="s">
        <v>192</v>
      </c>
      <c r="H573" t="s">
        <v>195</v>
      </c>
      <c r="I573" s="8"/>
      <c r="K573" s="8" t="s">
        <v>25</v>
      </c>
      <c r="L573" t="s">
        <v>26</v>
      </c>
      <c r="M573" s="8" t="s">
        <v>35</v>
      </c>
      <c r="O573">
        <v>1</v>
      </c>
      <c r="P573">
        <v>0</v>
      </c>
      <c r="Q573">
        <v>0</v>
      </c>
      <c r="R573">
        <v>0</v>
      </c>
      <c r="S573">
        <v>0</v>
      </c>
      <c r="T573">
        <v>0</v>
      </c>
      <c r="U573">
        <v>0</v>
      </c>
      <c r="V573">
        <v>0</v>
      </c>
      <c r="W573" s="8">
        <v>0</v>
      </c>
      <c r="X573">
        <v>0</v>
      </c>
      <c r="Y573">
        <v>0</v>
      </c>
      <c r="Z573" s="8"/>
      <c r="AA573" s="8" t="s">
        <v>498</v>
      </c>
      <c r="AB573" t="s">
        <v>21</v>
      </c>
    </row>
    <row r="574" spans="1:28">
      <c r="A574" s="8">
        <v>2017</v>
      </c>
      <c r="B574" s="8">
        <v>175</v>
      </c>
      <c r="D574" s="8" t="s">
        <v>60</v>
      </c>
      <c r="E574" s="12" t="s">
        <v>251</v>
      </c>
      <c r="F574" t="s">
        <v>61</v>
      </c>
      <c r="G574" s="8" t="s">
        <v>60</v>
      </c>
      <c r="H574" t="s">
        <v>61</v>
      </c>
      <c r="I574" s="8"/>
      <c r="K574" s="8" t="s">
        <v>25</v>
      </c>
      <c r="L574" t="s">
        <v>26</v>
      </c>
      <c r="M574" s="8" t="s">
        <v>35</v>
      </c>
      <c r="O574">
        <v>1</v>
      </c>
      <c r="P574">
        <v>0</v>
      </c>
      <c r="Q574">
        <v>0</v>
      </c>
      <c r="R574">
        <v>0</v>
      </c>
      <c r="S574">
        <v>0</v>
      </c>
      <c r="T574">
        <v>0</v>
      </c>
      <c r="U574">
        <v>0</v>
      </c>
      <c r="V574">
        <v>0</v>
      </c>
      <c r="W574" s="8">
        <v>0</v>
      </c>
      <c r="X574">
        <v>0</v>
      </c>
      <c r="Y574">
        <v>0</v>
      </c>
      <c r="Z574" s="8"/>
      <c r="AA574" s="8" t="s">
        <v>498</v>
      </c>
      <c r="AB574" t="s">
        <v>21</v>
      </c>
    </row>
    <row r="575" spans="1:28">
      <c r="A575" s="8">
        <v>2017</v>
      </c>
      <c r="B575" s="8">
        <v>175</v>
      </c>
      <c r="D575" s="8" t="s">
        <v>60</v>
      </c>
      <c r="E575" s="12" t="s">
        <v>251</v>
      </c>
      <c r="F575" t="s">
        <v>61</v>
      </c>
      <c r="G575" s="8" t="s">
        <v>26</v>
      </c>
      <c r="I575" s="8"/>
      <c r="K575" s="8" t="s">
        <v>25</v>
      </c>
      <c r="L575" t="s">
        <v>26</v>
      </c>
      <c r="M575" s="8" t="s">
        <v>35</v>
      </c>
      <c r="O575">
        <v>1</v>
      </c>
      <c r="P575">
        <v>0</v>
      </c>
      <c r="Q575">
        <v>1</v>
      </c>
      <c r="R575">
        <v>0</v>
      </c>
      <c r="S575">
        <v>0</v>
      </c>
      <c r="T575">
        <v>0</v>
      </c>
      <c r="U575">
        <v>0</v>
      </c>
      <c r="V575">
        <v>0</v>
      </c>
      <c r="W575" s="8">
        <v>0</v>
      </c>
      <c r="X575">
        <v>0</v>
      </c>
      <c r="Y575">
        <v>0</v>
      </c>
      <c r="Z575" s="8"/>
      <c r="AA575" s="8" t="s">
        <v>498</v>
      </c>
      <c r="AB575" t="s">
        <v>21</v>
      </c>
    </row>
    <row r="576" spans="1:28">
      <c r="A576" s="8">
        <v>2017</v>
      </c>
      <c r="B576" s="8">
        <v>176</v>
      </c>
      <c r="D576" s="8" t="s">
        <v>18</v>
      </c>
      <c r="F576" t="s">
        <v>19</v>
      </c>
      <c r="G576" s="8" t="s">
        <v>35</v>
      </c>
      <c r="I576" s="8"/>
      <c r="K576" s="8" t="s">
        <v>25</v>
      </c>
      <c r="L576" t="s">
        <v>35</v>
      </c>
      <c r="O576">
        <v>0</v>
      </c>
      <c r="P576">
        <v>0</v>
      </c>
      <c r="Q576">
        <v>0</v>
      </c>
      <c r="R576">
        <v>0</v>
      </c>
      <c r="S576">
        <v>0</v>
      </c>
      <c r="T576">
        <v>0</v>
      </c>
      <c r="U576">
        <v>0</v>
      </c>
      <c r="V576">
        <v>0</v>
      </c>
      <c r="W576" s="11">
        <v>0</v>
      </c>
      <c r="X576">
        <v>0</v>
      </c>
      <c r="Y576">
        <v>0</v>
      </c>
      <c r="Z576" s="11"/>
      <c r="AA576" s="8" t="s">
        <v>499</v>
      </c>
      <c r="AB576" t="s">
        <v>21</v>
      </c>
    </row>
    <row r="577" spans="1:30">
      <c r="A577" s="8">
        <v>2017</v>
      </c>
      <c r="B577" s="8">
        <v>177</v>
      </c>
      <c r="D577" s="8" t="s">
        <v>18</v>
      </c>
      <c r="F577" t="s">
        <v>19</v>
      </c>
      <c r="G577" s="8" t="s">
        <v>192</v>
      </c>
      <c r="I577" s="8"/>
      <c r="K577" s="8" t="s">
        <v>65</v>
      </c>
      <c r="L577" t="s">
        <v>192</v>
      </c>
      <c r="O577">
        <v>0</v>
      </c>
      <c r="P577">
        <v>1</v>
      </c>
      <c r="Q577">
        <v>1</v>
      </c>
      <c r="R577">
        <v>0</v>
      </c>
      <c r="S577">
        <v>0</v>
      </c>
      <c r="T577">
        <v>0</v>
      </c>
      <c r="U577">
        <v>1</v>
      </c>
      <c r="V577">
        <v>0</v>
      </c>
      <c r="W577" s="8">
        <v>1</v>
      </c>
      <c r="X577" s="8">
        <v>1</v>
      </c>
      <c r="Y577">
        <v>0</v>
      </c>
      <c r="Z577" s="8" t="s">
        <v>234</v>
      </c>
      <c r="AA577" s="8" t="s">
        <v>500</v>
      </c>
      <c r="AB577" t="s">
        <v>21</v>
      </c>
      <c r="AD577" t="s">
        <v>501</v>
      </c>
    </row>
    <row r="578" spans="1:30">
      <c r="A578" s="8">
        <v>2017</v>
      </c>
      <c r="B578" s="8">
        <v>178</v>
      </c>
      <c r="D578" s="8" t="s">
        <v>18</v>
      </c>
      <c r="F578" t="s">
        <v>19</v>
      </c>
      <c r="G578" s="8" t="s">
        <v>154</v>
      </c>
      <c r="H578" t="s">
        <v>187</v>
      </c>
      <c r="I578" s="8" t="s">
        <v>154</v>
      </c>
      <c r="J578" t="s">
        <v>187</v>
      </c>
      <c r="K578" s="8" t="s">
        <v>25</v>
      </c>
      <c r="L578" t="s">
        <v>154</v>
      </c>
      <c r="M578" s="8" t="s">
        <v>192</v>
      </c>
      <c r="O578">
        <v>0</v>
      </c>
      <c r="P578">
        <v>1</v>
      </c>
      <c r="Q578">
        <v>1</v>
      </c>
      <c r="R578">
        <v>0</v>
      </c>
      <c r="S578">
        <v>0</v>
      </c>
      <c r="T578">
        <v>0</v>
      </c>
      <c r="U578">
        <v>1</v>
      </c>
      <c r="V578">
        <v>0</v>
      </c>
      <c r="W578" s="8">
        <v>1</v>
      </c>
      <c r="X578" s="8">
        <v>1</v>
      </c>
      <c r="Y578" s="8">
        <v>0</v>
      </c>
      <c r="Z578" s="8" t="s">
        <v>235</v>
      </c>
      <c r="AA578" s="8" t="s">
        <v>504</v>
      </c>
      <c r="AB578" t="s">
        <v>21</v>
      </c>
    </row>
    <row r="579" spans="1:30">
      <c r="A579" s="8">
        <v>2017</v>
      </c>
      <c r="B579" s="8">
        <v>178</v>
      </c>
      <c r="D579" s="8" t="s">
        <v>18</v>
      </c>
      <c r="F579" t="s">
        <v>19</v>
      </c>
      <c r="G579" s="8" t="s">
        <v>192</v>
      </c>
      <c r="H579" t="s">
        <v>195</v>
      </c>
      <c r="I579" s="8" t="s">
        <v>154</v>
      </c>
      <c r="J579" t="s">
        <v>187</v>
      </c>
      <c r="K579" s="8" t="s">
        <v>25</v>
      </c>
      <c r="L579" t="s">
        <v>154</v>
      </c>
      <c r="M579" s="8" t="s">
        <v>192</v>
      </c>
      <c r="O579">
        <v>0</v>
      </c>
      <c r="P579">
        <v>1</v>
      </c>
      <c r="Q579">
        <v>0</v>
      </c>
      <c r="R579">
        <v>0</v>
      </c>
      <c r="S579">
        <v>0</v>
      </c>
      <c r="T579">
        <v>0</v>
      </c>
      <c r="U579">
        <v>1</v>
      </c>
      <c r="V579">
        <v>0</v>
      </c>
      <c r="W579" s="8">
        <v>1</v>
      </c>
      <c r="X579" s="8">
        <v>1</v>
      </c>
      <c r="Y579" s="8">
        <v>0</v>
      </c>
      <c r="Z579" s="8" t="s">
        <v>235</v>
      </c>
      <c r="AA579" s="8" t="s">
        <v>504</v>
      </c>
      <c r="AB579" t="s">
        <v>21</v>
      </c>
    </row>
    <row r="580" spans="1:30">
      <c r="A580" s="8">
        <v>2017</v>
      </c>
      <c r="B580" s="8">
        <v>179</v>
      </c>
      <c r="D580" s="8" t="s">
        <v>18</v>
      </c>
      <c r="F580" t="s">
        <v>19</v>
      </c>
      <c r="G580" s="8" t="s">
        <v>35</v>
      </c>
      <c r="I580" s="8" t="s">
        <v>22</v>
      </c>
      <c r="J580" t="s">
        <v>24</v>
      </c>
      <c r="K580" s="8" t="s">
        <v>25</v>
      </c>
      <c r="L580" t="s">
        <v>35</v>
      </c>
      <c r="O580">
        <v>0</v>
      </c>
      <c r="P580">
        <v>1</v>
      </c>
      <c r="Q580">
        <v>1</v>
      </c>
      <c r="R580">
        <v>0</v>
      </c>
      <c r="S580">
        <v>0</v>
      </c>
      <c r="T580">
        <v>0</v>
      </c>
      <c r="U580">
        <v>1</v>
      </c>
      <c r="V580">
        <v>0</v>
      </c>
      <c r="W580" s="8">
        <v>1</v>
      </c>
      <c r="X580" s="8">
        <v>0</v>
      </c>
      <c r="Y580" s="8">
        <v>1</v>
      </c>
      <c r="Z580" s="8" t="s">
        <v>236</v>
      </c>
      <c r="AA580" s="8" t="s">
        <v>505</v>
      </c>
      <c r="AB580" t="s">
        <v>21</v>
      </c>
      <c r="AD580" t="s">
        <v>509</v>
      </c>
    </row>
    <row r="581" spans="1:30">
      <c r="A581" s="8">
        <v>2017</v>
      </c>
      <c r="B581" s="8">
        <v>179</v>
      </c>
      <c r="D581" s="8" t="s">
        <v>18</v>
      </c>
      <c r="F581" t="s">
        <v>19</v>
      </c>
      <c r="G581" s="8" t="s">
        <v>152</v>
      </c>
      <c r="H581" t="s">
        <v>184</v>
      </c>
      <c r="I581" s="8" t="s">
        <v>22</v>
      </c>
      <c r="J581" t="s">
        <v>24</v>
      </c>
      <c r="K581" s="8" t="s">
        <v>25</v>
      </c>
      <c r="L581" t="s">
        <v>35</v>
      </c>
      <c r="O581">
        <v>0</v>
      </c>
      <c r="P581">
        <v>1</v>
      </c>
      <c r="Q581">
        <v>0</v>
      </c>
      <c r="R581">
        <v>0</v>
      </c>
      <c r="S581">
        <v>0</v>
      </c>
      <c r="T581">
        <v>0</v>
      </c>
      <c r="U581">
        <v>1</v>
      </c>
      <c r="V581">
        <v>0</v>
      </c>
      <c r="W581" s="8">
        <v>1</v>
      </c>
      <c r="X581" s="8">
        <v>0</v>
      </c>
      <c r="Y581" s="8">
        <v>1</v>
      </c>
      <c r="Z581" s="8" t="s">
        <v>236</v>
      </c>
      <c r="AA581" s="8" t="s">
        <v>505</v>
      </c>
      <c r="AB581" t="s">
        <v>21</v>
      </c>
      <c r="AD581" t="s">
        <v>509</v>
      </c>
    </row>
    <row r="582" spans="1:30">
      <c r="A582" s="8">
        <v>2017</v>
      </c>
      <c r="B582" s="8">
        <v>179</v>
      </c>
      <c r="D582" s="8" t="s">
        <v>18</v>
      </c>
      <c r="F582" t="s">
        <v>19</v>
      </c>
      <c r="G582" s="8" t="s">
        <v>22</v>
      </c>
      <c r="H582" t="s">
        <v>24</v>
      </c>
      <c r="I582" s="8" t="s">
        <v>22</v>
      </c>
      <c r="J582" t="s">
        <v>24</v>
      </c>
      <c r="K582" s="8" t="s">
        <v>25</v>
      </c>
      <c r="L582" t="s">
        <v>35</v>
      </c>
      <c r="O582">
        <v>0</v>
      </c>
      <c r="P582">
        <v>1</v>
      </c>
      <c r="Q582">
        <v>1</v>
      </c>
      <c r="R582">
        <v>0</v>
      </c>
      <c r="S582">
        <v>0</v>
      </c>
      <c r="T582">
        <v>0</v>
      </c>
      <c r="U582">
        <v>1</v>
      </c>
      <c r="V582">
        <v>0</v>
      </c>
      <c r="W582" s="8">
        <v>1</v>
      </c>
      <c r="X582" s="8">
        <v>0</v>
      </c>
      <c r="Y582" s="8">
        <v>1</v>
      </c>
      <c r="Z582" s="8" t="s">
        <v>236</v>
      </c>
      <c r="AA582" s="8" t="s">
        <v>505</v>
      </c>
      <c r="AB582" t="s">
        <v>21</v>
      </c>
      <c r="AD582" t="s">
        <v>509</v>
      </c>
    </row>
    <row r="583" spans="1:30">
      <c r="A583" s="8">
        <v>2017</v>
      </c>
      <c r="B583" s="8">
        <v>179</v>
      </c>
      <c r="D583" s="8" t="s">
        <v>18</v>
      </c>
      <c r="F583" t="s">
        <v>19</v>
      </c>
      <c r="G583" s="8" t="s">
        <v>191</v>
      </c>
      <c r="H583" t="s">
        <v>194</v>
      </c>
      <c r="I583" s="8" t="s">
        <v>22</v>
      </c>
      <c r="J583" t="s">
        <v>24</v>
      </c>
      <c r="K583" s="8" t="s">
        <v>25</v>
      </c>
      <c r="L583" t="s">
        <v>35</v>
      </c>
      <c r="O583">
        <v>0</v>
      </c>
      <c r="P583">
        <v>1</v>
      </c>
      <c r="Q583">
        <v>0</v>
      </c>
      <c r="R583">
        <v>0</v>
      </c>
      <c r="S583">
        <v>0</v>
      </c>
      <c r="T583">
        <v>0</v>
      </c>
      <c r="U583">
        <v>1</v>
      </c>
      <c r="V583">
        <v>0</v>
      </c>
      <c r="W583" s="8">
        <v>1</v>
      </c>
      <c r="X583" s="8">
        <v>0</v>
      </c>
      <c r="Y583" s="8">
        <v>1</v>
      </c>
      <c r="Z583" s="8" t="s">
        <v>236</v>
      </c>
      <c r="AA583" s="8" t="s">
        <v>505</v>
      </c>
      <c r="AB583" t="s">
        <v>21</v>
      </c>
      <c r="AD583" t="s">
        <v>509</v>
      </c>
    </row>
    <row r="584" spans="1:30">
      <c r="A584" s="8">
        <v>2017</v>
      </c>
      <c r="B584" s="8">
        <v>179</v>
      </c>
      <c r="D584" s="8" t="s">
        <v>18</v>
      </c>
      <c r="F584" t="s">
        <v>19</v>
      </c>
      <c r="G584" s="8" t="s">
        <v>192</v>
      </c>
      <c r="H584" t="s">
        <v>195</v>
      </c>
      <c r="I584" s="8" t="s">
        <v>22</v>
      </c>
      <c r="J584" t="s">
        <v>24</v>
      </c>
      <c r="K584" s="8" t="s">
        <v>25</v>
      </c>
      <c r="L584" t="s">
        <v>35</v>
      </c>
      <c r="O584">
        <v>0</v>
      </c>
      <c r="P584">
        <v>1</v>
      </c>
      <c r="Q584">
        <v>0</v>
      </c>
      <c r="R584">
        <v>0</v>
      </c>
      <c r="S584">
        <v>0</v>
      </c>
      <c r="T584">
        <v>0</v>
      </c>
      <c r="U584">
        <v>1</v>
      </c>
      <c r="V584">
        <v>0</v>
      </c>
      <c r="W584" s="8">
        <v>1</v>
      </c>
      <c r="X584" s="8">
        <v>0</v>
      </c>
      <c r="Y584" s="8">
        <v>1</v>
      </c>
      <c r="Z584" s="8" t="s">
        <v>236</v>
      </c>
      <c r="AA584" s="8" t="s">
        <v>505</v>
      </c>
      <c r="AB584" t="s">
        <v>21</v>
      </c>
      <c r="AD584" t="s">
        <v>509</v>
      </c>
    </row>
    <row r="585" spans="1:30">
      <c r="A585" s="8">
        <v>2017</v>
      </c>
      <c r="B585" s="8">
        <v>179</v>
      </c>
      <c r="D585" s="8" t="s">
        <v>18</v>
      </c>
      <c r="F585" t="s">
        <v>19</v>
      </c>
      <c r="G585" s="8" t="s">
        <v>60</v>
      </c>
      <c r="H585" t="s">
        <v>61</v>
      </c>
      <c r="I585" s="8" t="s">
        <v>22</v>
      </c>
      <c r="J585" t="s">
        <v>24</v>
      </c>
      <c r="K585" s="8" t="s">
        <v>25</v>
      </c>
      <c r="L585" t="s">
        <v>35</v>
      </c>
      <c r="O585">
        <v>0</v>
      </c>
      <c r="P585">
        <v>1</v>
      </c>
      <c r="Q585">
        <v>0</v>
      </c>
      <c r="R585">
        <v>0</v>
      </c>
      <c r="S585">
        <v>0</v>
      </c>
      <c r="T585">
        <v>0</v>
      </c>
      <c r="U585">
        <v>1</v>
      </c>
      <c r="V585">
        <v>0</v>
      </c>
      <c r="W585" s="8">
        <v>1</v>
      </c>
      <c r="X585" s="8">
        <v>0</v>
      </c>
      <c r="Y585" s="8">
        <v>1</v>
      </c>
      <c r="Z585" s="8" t="s">
        <v>236</v>
      </c>
      <c r="AA585" s="8" t="s">
        <v>505</v>
      </c>
      <c r="AB585" t="s">
        <v>21</v>
      </c>
      <c r="AD585" t="s">
        <v>509</v>
      </c>
    </row>
    <row r="586" spans="1:30">
      <c r="A586" s="8">
        <v>2017</v>
      </c>
      <c r="B586" s="8">
        <v>179</v>
      </c>
      <c r="D586" s="8" t="s">
        <v>18</v>
      </c>
      <c r="F586" t="s">
        <v>19</v>
      </c>
      <c r="G586" s="8" t="s">
        <v>485</v>
      </c>
      <c r="H586" t="s">
        <v>487</v>
      </c>
      <c r="I586" s="8" t="s">
        <v>22</v>
      </c>
      <c r="J586" t="s">
        <v>24</v>
      </c>
      <c r="K586" s="8" t="s">
        <v>25</v>
      </c>
      <c r="L586" t="s">
        <v>35</v>
      </c>
      <c r="O586">
        <v>0</v>
      </c>
      <c r="P586">
        <v>1</v>
      </c>
      <c r="Q586">
        <v>0</v>
      </c>
      <c r="R586">
        <v>0</v>
      </c>
      <c r="S586">
        <v>0</v>
      </c>
      <c r="T586">
        <v>0</v>
      </c>
      <c r="U586">
        <v>1</v>
      </c>
      <c r="V586">
        <v>0</v>
      </c>
      <c r="W586" s="8">
        <v>1</v>
      </c>
      <c r="X586" s="8">
        <v>0</v>
      </c>
      <c r="Y586" s="8">
        <v>1</v>
      </c>
      <c r="Z586" s="8" t="s">
        <v>236</v>
      </c>
      <c r="AA586" s="8" t="s">
        <v>505</v>
      </c>
      <c r="AB586" t="s">
        <v>21</v>
      </c>
      <c r="AD586" t="s">
        <v>509</v>
      </c>
    </row>
    <row r="587" spans="1:30">
      <c r="A587" s="8">
        <v>2017</v>
      </c>
      <c r="B587" s="8">
        <v>179</v>
      </c>
      <c r="D587" s="8" t="s">
        <v>18</v>
      </c>
      <c r="F587" t="s">
        <v>19</v>
      </c>
      <c r="G587" s="8" t="s">
        <v>484</v>
      </c>
      <c r="H587" t="s">
        <v>486</v>
      </c>
      <c r="I587" s="8" t="s">
        <v>22</v>
      </c>
      <c r="J587" t="s">
        <v>24</v>
      </c>
      <c r="K587" s="8" t="s">
        <v>25</v>
      </c>
      <c r="L587" t="s">
        <v>35</v>
      </c>
      <c r="O587">
        <v>0</v>
      </c>
      <c r="P587">
        <v>1</v>
      </c>
      <c r="Q587">
        <v>0</v>
      </c>
      <c r="R587">
        <v>0</v>
      </c>
      <c r="S587">
        <v>0</v>
      </c>
      <c r="T587">
        <v>0</v>
      </c>
      <c r="U587">
        <v>1</v>
      </c>
      <c r="V587">
        <v>0</v>
      </c>
      <c r="W587" s="8">
        <v>1</v>
      </c>
      <c r="X587" s="8">
        <v>0</v>
      </c>
      <c r="Y587" s="8">
        <v>1</v>
      </c>
      <c r="Z587" s="8" t="s">
        <v>236</v>
      </c>
      <c r="AA587" s="8" t="s">
        <v>505</v>
      </c>
      <c r="AB587" t="s">
        <v>21</v>
      </c>
      <c r="AD587" t="s">
        <v>509</v>
      </c>
    </row>
    <row r="588" spans="1:30">
      <c r="A588" s="8">
        <v>2017</v>
      </c>
      <c r="B588" s="8">
        <v>179</v>
      </c>
      <c r="D588" s="8" t="s">
        <v>18</v>
      </c>
      <c r="F588" t="s">
        <v>19</v>
      </c>
      <c r="G588" s="8" t="s">
        <v>26</v>
      </c>
      <c r="I588" s="8" t="s">
        <v>22</v>
      </c>
      <c r="J588" t="s">
        <v>24</v>
      </c>
      <c r="K588" s="8" t="s">
        <v>25</v>
      </c>
      <c r="L588" t="s">
        <v>506</v>
      </c>
      <c r="O588">
        <v>0</v>
      </c>
      <c r="P588">
        <v>0</v>
      </c>
      <c r="Q588">
        <v>0</v>
      </c>
      <c r="R588">
        <v>0</v>
      </c>
      <c r="S588">
        <v>0</v>
      </c>
      <c r="T588">
        <v>0</v>
      </c>
      <c r="U588">
        <v>1</v>
      </c>
      <c r="V588">
        <v>0</v>
      </c>
      <c r="W588" s="8">
        <v>1</v>
      </c>
      <c r="X588" s="8">
        <v>0</v>
      </c>
      <c r="Y588" s="8">
        <v>1</v>
      </c>
      <c r="Z588" s="8" t="s">
        <v>236</v>
      </c>
      <c r="AA588" s="8" t="s">
        <v>505</v>
      </c>
      <c r="AB588" t="s">
        <v>21</v>
      </c>
      <c r="AD588" t="s">
        <v>509</v>
      </c>
    </row>
    <row r="589" spans="1:30">
      <c r="A589" s="8">
        <v>2017</v>
      </c>
      <c r="B589" s="8">
        <v>179</v>
      </c>
      <c r="D589" s="8" t="s">
        <v>18</v>
      </c>
      <c r="F589" t="s">
        <v>19</v>
      </c>
      <c r="G589" s="8" t="s">
        <v>324</v>
      </c>
      <c r="H589" t="s">
        <v>332</v>
      </c>
      <c r="I589" s="8" t="s">
        <v>22</v>
      </c>
      <c r="J589" t="s">
        <v>24</v>
      </c>
      <c r="K589" s="8" t="s">
        <v>25</v>
      </c>
      <c r="L589" t="s">
        <v>35</v>
      </c>
      <c r="O589">
        <v>0</v>
      </c>
      <c r="P589">
        <v>1</v>
      </c>
      <c r="Q589">
        <v>0</v>
      </c>
      <c r="R589">
        <v>0</v>
      </c>
      <c r="S589">
        <v>0</v>
      </c>
      <c r="T589">
        <v>0</v>
      </c>
      <c r="U589">
        <v>1</v>
      </c>
      <c r="V589">
        <v>0</v>
      </c>
      <c r="W589" s="8">
        <v>1</v>
      </c>
      <c r="X589" s="8">
        <v>0</v>
      </c>
      <c r="Y589" s="8">
        <v>1</v>
      </c>
      <c r="Z589" s="8" t="s">
        <v>236</v>
      </c>
      <c r="AA589" s="8" t="s">
        <v>505</v>
      </c>
      <c r="AB589" t="s">
        <v>21</v>
      </c>
      <c r="AD589" t="s">
        <v>509</v>
      </c>
    </row>
    <row r="590" spans="1:30">
      <c r="A590" s="8">
        <v>2017</v>
      </c>
      <c r="B590" s="8">
        <v>179</v>
      </c>
      <c r="D590" s="8" t="s">
        <v>18</v>
      </c>
      <c r="F590" t="s">
        <v>19</v>
      </c>
      <c r="G590" s="8" t="s">
        <v>482</v>
      </c>
      <c r="H590" t="s">
        <v>483</v>
      </c>
      <c r="I590" s="8" t="s">
        <v>22</v>
      </c>
      <c r="J590" t="s">
        <v>24</v>
      </c>
      <c r="K590" s="8" t="s">
        <v>25</v>
      </c>
      <c r="L590" t="s">
        <v>35</v>
      </c>
      <c r="O590">
        <v>0</v>
      </c>
      <c r="P590">
        <v>0</v>
      </c>
      <c r="Q590">
        <v>0</v>
      </c>
      <c r="R590">
        <v>0</v>
      </c>
      <c r="S590">
        <v>0</v>
      </c>
      <c r="T590">
        <v>0</v>
      </c>
      <c r="U590">
        <v>1</v>
      </c>
      <c r="V590">
        <v>0</v>
      </c>
      <c r="W590" s="8">
        <v>1</v>
      </c>
      <c r="X590" s="8">
        <v>0</v>
      </c>
      <c r="Y590" s="8">
        <v>1</v>
      </c>
      <c r="Z590" s="8" t="s">
        <v>236</v>
      </c>
      <c r="AA590" s="8" t="s">
        <v>505</v>
      </c>
      <c r="AB590" t="s">
        <v>21</v>
      </c>
      <c r="AD590" t="s">
        <v>509</v>
      </c>
    </row>
    <row r="591" spans="1:30">
      <c r="A591" s="8">
        <v>2017</v>
      </c>
      <c r="B591" s="8">
        <v>179</v>
      </c>
      <c r="D591" s="8" t="s">
        <v>18</v>
      </c>
      <c r="F591" t="s">
        <v>19</v>
      </c>
      <c r="G591" s="8" t="s">
        <v>196</v>
      </c>
      <c r="H591" t="s">
        <v>197</v>
      </c>
      <c r="I591" s="8" t="s">
        <v>22</v>
      </c>
      <c r="J591" t="s">
        <v>24</v>
      </c>
      <c r="K591" s="8" t="s">
        <v>25</v>
      </c>
      <c r="L591" t="s">
        <v>35</v>
      </c>
      <c r="O591">
        <v>0</v>
      </c>
      <c r="P591">
        <v>0</v>
      </c>
      <c r="Q591">
        <v>0</v>
      </c>
      <c r="R591">
        <v>0</v>
      </c>
      <c r="S591">
        <v>0</v>
      </c>
      <c r="T591">
        <v>0</v>
      </c>
      <c r="U591">
        <v>1</v>
      </c>
      <c r="V591">
        <v>0</v>
      </c>
      <c r="W591" s="8">
        <v>1</v>
      </c>
      <c r="X591" s="8">
        <v>0</v>
      </c>
      <c r="Y591" s="8">
        <v>1</v>
      </c>
      <c r="Z591" s="8" t="s">
        <v>236</v>
      </c>
      <c r="AA591" s="8" t="s">
        <v>505</v>
      </c>
      <c r="AB591" t="s">
        <v>21</v>
      </c>
      <c r="AD591" t="s">
        <v>509</v>
      </c>
    </row>
    <row r="592" spans="1:30">
      <c r="A592" s="8">
        <v>2017</v>
      </c>
      <c r="B592" s="8">
        <v>179</v>
      </c>
      <c r="D592" s="8" t="s">
        <v>18</v>
      </c>
      <c r="F592" t="s">
        <v>19</v>
      </c>
      <c r="G592" s="8" t="s">
        <v>156</v>
      </c>
      <c r="H592" t="s">
        <v>189</v>
      </c>
      <c r="I592" s="8" t="s">
        <v>22</v>
      </c>
      <c r="J592" t="s">
        <v>24</v>
      </c>
      <c r="K592" s="8" t="s">
        <v>25</v>
      </c>
      <c r="L592" t="s">
        <v>35</v>
      </c>
      <c r="O592">
        <v>0</v>
      </c>
      <c r="P592">
        <v>0</v>
      </c>
      <c r="Q592">
        <v>0</v>
      </c>
      <c r="R592">
        <v>0</v>
      </c>
      <c r="S592">
        <v>0</v>
      </c>
      <c r="T592">
        <v>0</v>
      </c>
      <c r="U592">
        <v>1</v>
      </c>
      <c r="V592">
        <v>0</v>
      </c>
      <c r="W592" s="8">
        <v>1</v>
      </c>
      <c r="X592" s="8">
        <v>0</v>
      </c>
      <c r="Y592" s="8">
        <v>1</v>
      </c>
      <c r="Z592" s="8" t="s">
        <v>236</v>
      </c>
      <c r="AA592" s="8" t="s">
        <v>505</v>
      </c>
      <c r="AB592" t="s">
        <v>21</v>
      </c>
      <c r="AD592" t="s">
        <v>509</v>
      </c>
    </row>
    <row r="593" spans="1:30">
      <c r="A593" s="8">
        <v>2017</v>
      </c>
      <c r="B593" s="8">
        <v>179</v>
      </c>
      <c r="D593" s="8" t="s">
        <v>18</v>
      </c>
      <c r="F593" t="s">
        <v>19</v>
      </c>
      <c r="G593" s="8" t="s">
        <v>151</v>
      </c>
      <c r="H593" t="s">
        <v>183</v>
      </c>
      <c r="I593" s="8" t="s">
        <v>22</v>
      </c>
      <c r="J593" t="s">
        <v>24</v>
      </c>
      <c r="K593" s="8" t="s">
        <v>25</v>
      </c>
      <c r="L593" t="s">
        <v>35</v>
      </c>
      <c r="O593">
        <v>0</v>
      </c>
      <c r="P593">
        <v>0</v>
      </c>
      <c r="Q593">
        <v>0</v>
      </c>
      <c r="R593">
        <v>0</v>
      </c>
      <c r="S593">
        <v>0</v>
      </c>
      <c r="T593">
        <v>0</v>
      </c>
      <c r="U593">
        <v>1</v>
      </c>
      <c r="V593">
        <v>0</v>
      </c>
      <c r="W593" s="8">
        <v>1</v>
      </c>
      <c r="X593" s="8">
        <v>0</v>
      </c>
      <c r="Y593" s="8">
        <v>1</v>
      </c>
      <c r="Z593" s="8" t="s">
        <v>236</v>
      </c>
      <c r="AA593" s="8" t="s">
        <v>505</v>
      </c>
      <c r="AB593" t="s">
        <v>21</v>
      </c>
      <c r="AD593" t="s">
        <v>509</v>
      </c>
    </row>
    <row r="594" spans="1:30">
      <c r="A594" s="8">
        <v>2017</v>
      </c>
      <c r="B594" s="8">
        <v>179</v>
      </c>
      <c r="D594" s="8" t="s">
        <v>18</v>
      </c>
      <c r="F594" t="s">
        <v>19</v>
      </c>
      <c r="G594" s="8" t="s">
        <v>325</v>
      </c>
      <c r="H594" t="s">
        <v>333</v>
      </c>
      <c r="I594" s="8" t="s">
        <v>22</v>
      </c>
      <c r="J594" t="s">
        <v>24</v>
      </c>
      <c r="K594" s="8" t="s">
        <v>25</v>
      </c>
      <c r="L594" t="s">
        <v>35</v>
      </c>
      <c r="O594">
        <v>0</v>
      </c>
      <c r="P594">
        <v>1</v>
      </c>
      <c r="Q594">
        <v>0</v>
      </c>
      <c r="R594">
        <v>0</v>
      </c>
      <c r="S594">
        <v>0</v>
      </c>
      <c r="T594">
        <v>0</v>
      </c>
      <c r="U594">
        <v>1</v>
      </c>
      <c r="V594">
        <v>0</v>
      </c>
      <c r="W594" s="8">
        <v>1</v>
      </c>
      <c r="X594" s="8">
        <v>0</v>
      </c>
      <c r="Y594" s="8">
        <v>1</v>
      </c>
      <c r="Z594" s="8" t="s">
        <v>236</v>
      </c>
      <c r="AA594" s="8" t="s">
        <v>505</v>
      </c>
      <c r="AB594" t="s">
        <v>21</v>
      </c>
      <c r="AD594" t="s">
        <v>509</v>
      </c>
    </row>
    <row r="595" spans="1:30">
      <c r="A595" s="8">
        <v>2017</v>
      </c>
      <c r="B595" s="8">
        <v>179</v>
      </c>
      <c r="D595" s="8" t="s">
        <v>18</v>
      </c>
      <c r="F595" t="s">
        <v>19</v>
      </c>
      <c r="G595" s="8" t="s">
        <v>507</v>
      </c>
      <c r="H595" t="s">
        <v>508</v>
      </c>
      <c r="I595" s="8" t="s">
        <v>22</v>
      </c>
      <c r="J595" t="s">
        <v>24</v>
      </c>
      <c r="K595" s="8" t="s">
        <v>25</v>
      </c>
      <c r="L595" t="s">
        <v>35</v>
      </c>
      <c r="O595">
        <v>0</v>
      </c>
      <c r="P595">
        <v>1</v>
      </c>
      <c r="Q595">
        <v>0</v>
      </c>
      <c r="R595">
        <v>0</v>
      </c>
      <c r="S595">
        <v>0</v>
      </c>
      <c r="T595">
        <v>0</v>
      </c>
      <c r="U595">
        <v>1</v>
      </c>
      <c r="V595">
        <v>0</v>
      </c>
      <c r="W595" s="8">
        <v>1</v>
      </c>
      <c r="X595" s="8">
        <v>0</v>
      </c>
      <c r="Y595" s="8">
        <v>1</v>
      </c>
      <c r="Z595" s="8" t="s">
        <v>236</v>
      </c>
      <c r="AA595" s="8" t="s">
        <v>505</v>
      </c>
      <c r="AB595" t="s">
        <v>21</v>
      </c>
      <c r="AD595" t="s">
        <v>509</v>
      </c>
    </row>
    <row r="596" spans="1:30">
      <c r="A596" s="8">
        <v>2017</v>
      </c>
      <c r="B596" s="8">
        <v>179</v>
      </c>
      <c r="D596" s="8" t="s">
        <v>18</v>
      </c>
      <c r="F596" t="s">
        <v>19</v>
      </c>
      <c r="G596" s="8" t="s">
        <v>203</v>
      </c>
      <c r="H596" t="s">
        <v>206</v>
      </c>
      <c r="I596" s="8" t="s">
        <v>22</v>
      </c>
      <c r="J596" t="s">
        <v>24</v>
      </c>
      <c r="K596" s="8" t="s">
        <v>25</v>
      </c>
      <c r="L596" t="s">
        <v>35</v>
      </c>
      <c r="O596">
        <v>0</v>
      </c>
      <c r="P596">
        <v>0</v>
      </c>
      <c r="Q596">
        <v>0</v>
      </c>
      <c r="R596">
        <v>0</v>
      </c>
      <c r="S596">
        <v>0</v>
      </c>
      <c r="T596">
        <v>0</v>
      </c>
      <c r="U596">
        <v>1</v>
      </c>
      <c r="V596">
        <v>0</v>
      </c>
      <c r="W596" s="8">
        <v>1</v>
      </c>
      <c r="X596" s="8">
        <v>0</v>
      </c>
      <c r="Y596" s="8">
        <v>1</v>
      </c>
      <c r="Z596" s="8" t="s">
        <v>236</v>
      </c>
      <c r="AA596" s="8" t="s">
        <v>505</v>
      </c>
      <c r="AB596" t="s">
        <v>21</v>
      </c>
      <c r="AD596" t="s">
        <v>509</v>
      </c>
    </row>
    <row r="597" spans="1:30">
      <c r="A597" s="8">
        <v>2017</v>
      </c>
      <c r="B597" s="8">
        <v>179</v>
      </c>
      <c r="D597" s="8" t="s">
        <v>18</v>
      </c>
      <c r="F597" t="s">
        <v>19</v>
      </c>
      <c r="G597" s="8" t="s">
        <v>249</v>
      </c>
      <c r="H597" t="s">
        <v>250</v>
      </c>
      <c r="I597" s="8" t="s">
        <v>22</v>
      </c>
      <c r="J597" t="s">
        <v>24</v>
      </c>
      <c r="K597" s="8" t="s">
        <v>25</v>
      </c>
      <c r="L597" t="s">
        <v>35</v>
      </c>
      <c r="O597">
        <v>0</v>
      </c>
      <c r="P597">
        <v>0</v>
      </c>
      <c r="Q597">
        <v>0</v>
      </c>
      <c r="R597">
        <v>0</v>
      </c>
      <c r="S597">
        <v>0</v>
      </c>
      <c r="T597">
        <v>0</v>
      </c>
      <c r="U597">
        <v>1</v>
      </c>
      <c r="V597">
        <v>0</v>
      </c>
      <c r="W597" s="8">
        <v>1</v>
      </c>
      <c r="X597" s="8">
        <v>0</v>
      </c>
      <c r="Y597" s="8">
        <v>1</v>
      </c>
      <c r="Z597" s="8" t="s">
        <v>236</v>
      </c>
      <c r="AA597" s="8" t="s">
        <v>505</v>
      </c>
      <c r="AB597" t="s">
        <v>21</v>
      </c>
      <c r="AD597" t="s">
        <v>509</v>
      </c>
    </row>
    <row r="598" spans="1:30">
      <c r="A598" s="8">
        <v>2017</v>
      </c>
      <c r="B598" s="8">
        <v>179</v>
      </c>
      <c r="D598" s="8" t="s">
        <v>18</v>
      </c>
      <c r="F598" t="s">
        <v>19</v>
      </c>
      <c r="G598" s="8" t="s">
        <v>202</v>
      </c>
      <c r="H598" t="s">
        <v>205</v>
      </c>
      <c r="I598" s="8" t="s">
        <v>22</v>
      </c>
      <c r="J598" t="s">
        <v>24</v>
      </c>
      <c r="K598" s="8" t="s">
        <v>25</v>
      </c>
      <c r="L598" t="s">
        <v>35</v>
      </c>
      <c r="O598">
        <v>0</v>
      </c>
      <c r="P598">
        <v>0</v>
      </c>
      <c r="Q598">
        <v>0</v>
      </c>
      <c r="R598">
        <v>0</v>
      </c>
      <c r="S598">
        <v>0</v>
      </c>
      <c r="T598">
        <v>0</v>
      </c>
      <c r="U598">
        <v>1</v>
      </c>
      <c r="V598">
        <v>0</v>
      </c>
      <c r="W598" s="8">
        <v>1</v>
      </c>
      <c r="X598" s="8">
        <v>0</v>
      </c>
      <c r="Y598" s="8">
        <v>1</v>
      </c>
      <c r="Z598" s="8" t="s">
        <v>236</v>
      </c>
      <c r="AA598" s="8" t="s">
        <v>505</v>
      </c>
      <c r="AB598" t="s">
        <v>21</v>
      </c>
      <c r="AD598" t="s">
        <v>509</v>
      </c>
    </row>
    <row r="599" spans="1:30">
      <c r="A599" s="8">
        <v>2017</v>
      </c>
      <c r="B599" s="8">
        <v>179</v>
      </c>
      <c r="D599" s="8" t="s">
        <v>18</v>
      </c>
      <c r="F599" t="s">
        <v>19</v>
      </c>
      <c r="G599" s="8" t="s">
        <v>193</v>
      </c>
      <c r="H599" t="s">
        <v>185</v>
      </c>
      <c r="I599" s="8" t="s">
        <v>22</v>
      </c>
      <c r="J599" t="s">
        <v>24</v>
      </c>
      <c r="K599" s="8" t="s">
        <v>25</v>
      </c>
      <c r="L599" t="s">
        <v>35</v>
      </c>
      <c r="O599">
        <v>0</v>
      </c>
      <c r="P599">
        <v>0</v>
      </c>
      <c r="Q599">
        <v>0</v>
      </c>
      <c r="R599">
        <v>0</v>
      </c>
      <c r="S599">
        <v>0</v>
      </c>
      <c r="T599">
        <v>0</v>
      </c>
      <c r="U599">
        <v>1</v>
      </c>
      <c r="V599">
        <v>0</v>
      </c>
      <c r="W599" s="8">
        <v>1</v>
      </c>
      <c r="X599" s="8">
        <v>0</v>
      </c>
      <c r="Y599" s="8">
        <v>1</v>
      </c>
      <c r="Z599" s="8" t="s">
        <v>236</v>
      </c>
      <c r="AA599" s="8" t="s">
        <v>505</v>
      </c>
      <c r="AB599" t="s">
        <v>21</v>
      </c>
      <c r="AD599" t="s">
        <v>509</v>
      </c>
    </row>
    <row r="600" spans="1:30">
      <c r="A600" s="8">
        <v>2017</v>
      </c>
      <c r="B600" s="8">
        <v>179</v>
      </c>
      <c r="D600" s="8" t="s">
        <v>18</v>
      </c>
      <c r="F600" t="s">
        <v>19</v>
      </c>
      <c r="G600" s="8" t="s">
        <v>37</v>
      </c>
      <c r="I600" s="8" t="s">
        <v>22</v>
      </c>
      <c r="J600" t="s">
        <v>24</v>
      </c>
      <c r="K600" s="8" t="s">
        <v>25</v>
      </c>
      <c r="L600" t="s">
        <v>35</v>
      </c>
      <c r="O600">
        <v>0</v>
      </c>
      <c r="P600">
        <v>0</v>
      </c>
      <c r="Q600">
        <v>0</v>
      </c>
      <c r="R600">
        <v>0</v>
      </c>
      <c r="S600">
        <v>0</v>
      </c>
      <c r="T600">
        <v>0</v>
      </c>
      <c r="U600">
        <v>1</v>
      </c>
      <c r="V600">
        <v>0</v>
      </c>
      <c r="W600" s="8">
        <v>1</v>
      </c>
      <c r="X600" s="8">
        <v>0</v>
      </c>
      <c r="Y600" s="8">
        <v>1</v>
      </c>
      <c r="Z600" s="8" t="s">
        <v>236</v>
      </c>
      <c r="AA600" s="8" t="s">
        <v>505</v>
      </c>
      <c r="AB600" t="s">
        <v>21</v>
      </c>
      <c r="AD600" t="s">
        <v>509</v>
      </c>
    </row>
    <row r="601" spans="1:30">
      <c r="A601" s="8">
        <v>2017</v>
      </c>
      <c r="B601" s="8">
        <v>179</v>
      </c>
      <c r="D601" s="8" t="s">
        <v>18</v>
      </c>
      <c r="F601" t="s">
        <v>19</v>
      </c>
      <c r="G601" s="8" t="s">
        <v>161</v>
      </c>
      <c r="I601" s="8" t="s">
        <v>22</v>
      </c>
      <c r="J601" t="s">
        <v>24</v>
      </c>
      <c r="K601" s="8" t="s">
        <v>25</v>
      </c>
      <c r="L601" t="s">
        <v>35</v>
      </c>
      <c r="O601">
        <v>0</v>
      </c>
      <c r="P601">
        <v>0</v>
      </c>
      <c r="Q601">
        <v>0</v>
      </c>
      <c r="R601">
        <v>0</v>
      </c>
      <c r="S601">
        <v>0</v>
      </c>
      <c r="T601">
        <v>0</v>
      </c>
      <c r="U601">
        <v>1</v>
      </c>
      <c r="V601">
        <v>0</v>
      </c>
      <c r="W601" s="8">
        <v>1</v>
      </c>
      <c r="X601" s="8">
        <v>0</v>
      </c>
      <c r="Y601" s="8">
        <v>1</v>
      </c>
      <c r="Z601" s="8" t="s">
        <v>236</v>
      </c>
      <c r="AA601" s="8" t="s">
        <v>505</v>
      </c>
      <c r="AB601" t="s">
        <v>21</v>
      </c>
      <c r="AD601" t="s">
        <v>509</v>
      </c>
    </row>
    <row r="602" spans="1:30">
      <c r="A602" s="8">
        <v>2017</v>
      </c>
      <c r="B602" s="8">
        <v>179</v>
      </c>
      <c r="D602" s="8" t="s">
        <v>18</v>
      </c>
      <c r="F602" t="s">
        <v>19</v>
      </c>
      <c r="G602" s="8" t="s">
        <v>386</v>
      </c>
      <c r="I602" s="8" t="s">
        <v>22</v>
      </c>
      <c r="J602" t="s">
        <v>24</v>
      </c>
      <c r="K602" s="8" t="s">
        <v>25</v>
      </c>
      <c r="L602" t="s">
        <v>35</v>
      </c>
      <c r="O602">
        <v>0</v>
      </c>
      <c r="P602">
        <v>0</v>
      </c>
      <c r="Q602">
        <v>0</v>
      </c>
      <c r="R602">
        <v>0</v>
      </c>
      <c r="S602">
        <v>0</v>
      </c>
      <c r="T602">
        <v>0</v>
      </c>
      <c r="U602">
        <v>1</v>
      </c>
      <c r="V602">
        <v>0</v>
      </c>
      <c r="W602" s="8">
        <v>1</v>
      </c>
      <c r="X602" s="8">
        <v>0</v>
      </c>
      <c r="Y602" s="8">
        <v>1</v>
      </c>
      <c r="Z602" s="8" t="s">
        <v>236</v>
      </c>
      <c r="AA602" s="8" t="s">
        <v>505</v>
      </c>
      <c r="AB602" t="s">
        <v>21</v>
      </c>
      <c r="AD602" t="s">
        <v>509</v>
      </c>
    </row>
    <row r="603" spans="1:30">
      <c r="A603" s="8">
        <v>2017</v>
      </c>
      <c r="B603" s="8">
        <v>180</v>
      </c>
      <c r="D603" s="8" t="s">
        <v>18</v>
      </c>
      <c r="F603" t="s">
        <v>19</v>
      </c>
      <c r="G603" s="8" t="s">
        <v>154</v>
      </c>
      <c r="H603" t="s">
        <v>187</v>
      </c>
      <c r="I603" s="8" t="s">
        <v>192</v>
      </c>
      <c r="J603" t="s">
        <v>195</v>
      </c>
      <c r="K603" s="8" t="s">
        <v>65</v>
      </c>
      <c r="L603" t="s">
        <v>154</v>
      </c>
      <c r="M603" s="8" t="s">
        <v>192</v>
      </c>
      <c r="O603">
        <v>0</v>
      </c>
      <c r="P603">
        <v>1</v>
      </c>
      <c r="Q603">
        <v>0</v>
      </c>
      <c r="R603">
        <v>0</v>
      </c>
      <c r="S603">
        <v>0</v>
      </c>
      <c r="T603">
        <v>0</v>
      </c>
      <c r="U603">
        <v>0</v>
      </c>
      <c r="V603">
        <v>0</v>
      </c>
      <c r="W603" s="8">
        <v>1</v>
      </c>
      <c r="X603" s="8">
        <v>1</v>
      </c>
      <c r="Y603" s="8">
        <v>0</v>
      </c>
      <c r="Z603" s="8" t="s">
        <v>237</v>
      </c>
      <c r="AA603" s="8" t="s">
        <v>510</v>
      </c>
      <c r="AB603" t="s">
        <v>21</v>
      </c>
      <c r="AD603" t="s">
        <v>511</v>
      </c>
    </row>
    <row r="604" spans="1:30">
      <c r="A604" s="8">
        <v>2017</v>
      </c>
      <c r="B604" s="8">
        <v>180</v>
      </c>
      <c r="D604" s="8" t="s">
        <v>18</v>
      </c>
      <c r="F604" t="s">
        <v>19</v>
      </c>
      <c r="G604" s="8" t="s">
        <v>192</v>
      </c>
      <c r="H604" t="s">
        <v>195</v>
      </c>
      <c r="I604" s="8" t="s">
        <v>192</v>
      </c>
      <c r="J604" t="s">
        <v>195</v>
      </c>
      <c r="K604" s="8" t="s">
        <v>65</v>
      </c>
      <c r="L604" t="s">
        <v>154</v>
      </c>
      <c r="M604" s="8" t="s">
        <v>192</v>
      </c>
      <c r="O604">
        <v>0</v>
      </c>
      <c r="P604">
        <v>1</v>
      </c>
      <c r="Q604">
        <v>1</v>
      </c>
      <c r="R604">
        <v>0</v>
      </c>
      <c r="S604">
        <v>0</v>
      </c>
      <c r="T604">
        <v>0</v>
      </c>
      <c r="U604">
        <v>1</v>
      </c>
      <c r="V604">
        <v>0</v>
      </c>
      <c r="W604" s="8">
        <v>1</v>
      </c>
      <c r="X604" s="8">
        <v>1</v>
      </c>
      <c r="Y604" s="8">
        <v>0</v>
      </c>
      <c r="Z604" s="8" t="s">
        <v>237</v>
      </c>
      <c r="AA604" s="8" t="s">
        <v>510</v>
      </c>
      <c r="AB604" t="s">
        <v>21</v>
      </c>
      <c r="AD604" t="s">
        <v>511</v>
      </c>
    </row>
    <row r="605" spans="1:30">
      <c r="A605" s="8">
        <v>2018</v>
      </c>
      <c r="B605" s="8">
        <v>181</v>
      </c>
      <c r="D605" s="8" t="s">
        <v>18</v>
      </c>
      <c r="F605" t="s">
        <v>19</v>
      </c>
      <c r="G605" s="8" t="s">
        <v>965</v>
      </c>
      <c r="I605" s="8" t="s">
        <v>204</v>
      </c>
      <c r="J605" t="s">
        <v>207</v>
      </c>
      <c r="K605" s="8" t="s">
        <v>201</v>
      </c>
      <c r="L605" t="s">
        <v>965</v>
      </c>
      <c r="O605">
        <v>0</v>
      </c>
      <c r="P605">
        <v>1</v>
      </c>
      <c r="Q605">
        <v>1</v>
      </c>
      <c r="R605">
        <v>0</v>
      </c>
      <c r="S605">
        <v>0</v>
      </c>
      <c r="T605">
        <v>0</v>
      </c>
      <c r="U605">
        <v>0</v>
      </c>
      <c r="V605">
        <v>0</v>
      </c>
      <c r="W605" s="8">
        <v>1</v>
      </c>
      <c r="X605" s="8">
        <v>0</v>
      </c>
      <c r="Y605" s="8">
        <v>1</v>
      </c>
      <c r="Z605" s="8" t="s">
        <v>898</v>
      </c>
      <c r="AA605" s="8" t="s">
        <v>901</v>
      </c>
      <c r="AB605" t="s">
        <v>900</v>
      </c>
    </row>
    <row r="606" spans="1:30">
      <c r="A606">
        <v>2018</v>
      </c>
      <c r="B606" s="8">
        <v>182</v>
      </c>
      <c r="D606" t="s">
        <v>18</v>
      </c>
      <c r="F606" t="s">
        <v>19</v>
      </c>
      <c r="G606" t="s">
        <v>26</v>
      </c>
      <c r="K606" t="s">
        <v>25</v>
      </c>
      <c r="L606" t="s">
        <v>26</v>
      </c>
      <c r="O606">
        <v>0</v>
      </c>
      <c r="P606">
        <v>1</v>
      </c>
      <c r="Q606">
        <v>1</v>
      </c>
      <c r="R606">
        <v>0</v>
      </c>
      <c r="S606">
        <v>0</v>
      </c>
      <c r="T606">
        <v>0</v>
      </c>
      <c r="U606">
        <v>0</v>
      </c>
      <c r="V606">
        <v>0</v>
      </c>
      <c r="W606">
        <v>0</v>
      </c>
      <c r="X606">
        <v>0</v>
      </c>
      <c r="Y606">
        <v>0</v>
      </c>
      <c r="AA606" t="s">
        <v>67</v>
      </c>
      <c r="AB606" t="s">
        <v>21</v>
      </c>
    </row>
    <row r="607" spans="1:30">
      <c r="A607" s="8">
        <v>2018</v>
      </c>
      <c r="B607" s="8">
        <v>183</v>
      </c>
      <c r="C607" s="8"/>
      <c r="D607" s="8" t="s">
        <v>60</v>
      </c>
      <c r="E607" t="s">
        <v>254</v>
      </c>
      <c r="F607" t="s">
        <v>61</v>
      </c>
      <c r="G607" s="8" t="s">
        <v>157</v>
      </c>
      <c r="I607" s="8" t="s">
        <v>157</v>
      </c>
      <c r="J607" t="s">
        <v>190</v>
      </c>
      <c r="K607" s="8" t="s">
        <v>65</v>
      </c>
      <c r="L607" t="s">
        <v>157</v>
      </c>
      <c r="O607">
        <v>0</v>
      </c>
      <c r="P607">
        <v>1</v>
      </c>
      <c r="Q607">
        <v>1</v>
      </c>
      <c r="R607">
        <v>0</v>
      </c>
      <c r="S607">
        <v>0</v>
      </c>
      <c r="T607">
        <v>0</v>
      </c>
      <c r="U607">
        <v>0</v>
      </c>
      <c r="V607">
        <v>0</v>
      </c>
      <c r="W607" s="8">
        <v>1</v>
      </c>
      <c r="X607">
        <v>0</v>
      </c>
      <c r="Y607">
        <v>1</v>
      </c>
      <c r="Z607" s="8" t="s">
        <v>164</v>
      </c>
      <c r="AA607" s="8" t="s">
        <v>512</v>
      </c>
      <c r="AB607" t="s">
        <v>21</v>
      </c>
    </row>
    <row r="608" spans="1:30">
      <c r="A608" s="8">
        <v>2018</v>
      </c>
      <c r="B608" s="8">
        <v>184</v>
      </c>
      <c r="D608" s="8" t="s">
        <v>60</v>
      </c>
      <c r="E608" t="s">
        <v>247</v>
      </c>
      <c r="F608" t="s">
        <v>61</v>
      </c>
      <c r="G608" s="8" t="s">
        <v>26</v>
      </c>
      <c r="I608" s="8" t="s">
        <v>22</v>
      </c>
      <c r="J608" t="s">
        <v>24</v>
      </c>
      <c r="K608" s="8" t="s">
        <v>25</v>
      </c>
      <c r="L608" t="s">
        <v>26</v>
      </c>
      <c r="O608">
        <v>0</v>
      </c>
      <c r="P608">
        <v>1</v>
      </c>
      <c r="Q608">
        <v>1</v>
      </c>
      <c r="R608">
        <v>0</v>
      </c>
      <c r="S608">
        <v>0</v>
      </c>
      <c r="T608">
        <v>0</v>
      </c>
      <c r="U608">
        <v>0</v>
      </c>
      <c r="V608">
        <v>0</v>
      </c>
      <c r="W608" s="8">
        <v>0</v>
      </c>
      <c r="X608">
        <v>0</v>
      </c>
      <c r="Y608">
        <v>0</v>
      </c>
      <c r="Z608" s="8"/>
      <c r="AA608" s="8" t="s">
        <v>513</v>
      </c>
      <c r="AB608" t="s">
        <v>21</v>
      </c>
    </row>
    <row r="609" spans="1:28">
      <c r="A609" s="8">
        <v>2018</v>
      </c>
      <c r="B609" s="8">
        <v>184</v>
      </c>
      <c r="D609" s="8" t="s">
        <v>60</v>
      </c>
      <c r="E609" t="s">
        <v>248</v>
      </c>
      <c r="F609" t="s">
        <v>61</v>
      </c>
      <c r="G609" s="8" t="s">
        <v>22</v>
      </c>
      <c r="H609" t="s">
        <v>24</v>
      </c>
      <c r="I609" s="8" t="s">
        <v>22</v>
      </c>
      <c r="J609" t="s">
        <v>24</v>
      </c>
      <c r="K609" s="8" t="s">
        <v>25</v>
      </c>
      <c r="L609" t="s">
        <v>26</v>
      </c>
      <c r="O609">
        <v>0</v>
      </c>
      <c r="P609">
        <v>1</v>
      </c>
      <c r="Q609">
        <v>1</v>
      </c>
      <c r="R609">
        <v>0</v>
      </c>
      <c r="S609">
        <v>0</v>
      </c>
      <c r="T609">
        <v>0</v>
      </c>
      <c r="U609">
        <v>0</v>
      </c>
      <c r="V609">
        <v>0</v>
      </c>
      <c r="W609" s="8">
        <v>0</v>
      </c>
      <c r="X609">
        <v>0</v>
      </c>
      <c r="Y609">
        <v>0</v>
      </c>
      <c r="Z609" s="8"/>
      <c r="AA609" s="8" t="s">
        <v>513</v>
      </c>
      <c r="AB609" t="s">
        <v>21</v>
      </c>
    </row>
    <row r="610" spans="1:28">
      <c r="A610" s="8">
        <v>2018</v>
      </c>
      <c r="B610" s="8">
        <v>185</v>
      </c>
      <c r="D610" s="8" t="s">
        <v>60</v>
      </c>
      <c r="F610" t="s">
        <v>61</v>
      </c>
      <c r="G610" s="8" t="s">
        <v>26</v>
      </c>
      <c r="I610" s="8" t="s">
        <v>22</v>
      </c>
      <c r="J610" t="s">
        <v>24</v>
      </c>
      <c r="K610" s="8" t="s">
        <v>25</v>
      </c>
      <c r="L610" t="s">
        <v>26</v>
      </c>
      <c r="O610">
        <v>1</v>
      </c>
      <c r="P610">
        <v>0</v>
      </c>
      <c r="Q610">
        <v>0</v>
      </c>
      <c r="R610">
        <v>0</v>
      </c>
      <c r="S610">
        <v>0</v>
      </c>
      <c r="T610">
        <v>0</v>
      </c>
      <c r="U610">
        <v>0</v>
      </c>
      <c r="V610">
        <v>0</v>
      </c>
      <c r="W610" s="8">
        <v>0</v>
      </c>
      <c r="X610">
        <v>0</v>
      </c>
      <c r="Y610">
        <v>0</v>
      </c>
      <c r="Z610" s="8"/>
      <c r="AA610" s="8" t="s">
        <v>514</v>
      </c>
      <c r="AB610" t="s">
        <v>21</v>
      </c>
    </row>
    <row r="611" spans="1:28">
      <c r="A611" s="8">
        <v>2018</v>
      </c>
      <c r="B611" s="8">
        <v>185</v>
      </c>
      <c r="D611" s="8" t="s">
        <v>60</v>
      </c>
      <c r="F611" t="s">
        <v>61</v>
      </c>
      <c r="G611" s="8" t="s">
        <v>22</v>
      </c>
      <c r="H611" t="s">
        <v>24</v>
      </c>
      <c r="I611" s="8" t="s">
        <v>22</v>
      </c>
      <c r="J611" t="s">
        <v>24</v>
      </c>
      <c r="K611" s="8" t="s">
        <v>25</v>
      </c>
      <c r="L611" t="s">
        <v>26</v>
      </c>
      <c r="O611">
        <v>0</v>
      </c>
      <c r="P611">
        <v>0</v>
      </c>
      <c r="Q611">
        <v>1</v>
      </c>
      <c r="R611">
        <v>0</v>
      </c>
      <c r="S611">
        <v>0</v>
      </c>
      <c r="T611">
        <v>0</v>
      </c>
      <c r="U611">
        <v>0</v>
      </c>
      <c r="V611">
        <v>0</v>
      </c>
      <c r="W611" s="8">
        <v>0</v>
      </c>
      <c r="X611">
        <v>0</v>
      </c>
      <c r="Y611">
        <v>0</v>
      </c>
      <c r="Z611" s="8"/>
      <c r="AA611" s="8" t="s">
        <v>514</v>
      </c>
      <c r="AB611" t="s">
        <v>21</v>
      </c>
    </row>
    <row r="612" spans="1:28">
      <c r="A612" s="8">
        <v>2018</v>
      </c>
      <c r="B612" s="8">
        <v>186</v>
      </c>
      <c r="D612" s="8" t="s">
        <v>60</v>
      </c>
      <c r="F612" t="s">
        <v>61</v>
      </c>
      <c r="G612" s="8" t="s">
        <v>26</v>
      </c>
      <c r="I612" s="8" t="s">
        <v>22</v>
      </c>
      <c r="J612" t="s">
        <v>24</v>
      </c>
      <c r="K612" s="8" t="s">
        <v>25</v>
      </c>
      <c r="L612" t="s">
        <v>26</v>
      </c>
      <c r="O612">
        <v>1</v>
      </c>
      <c r="P612">
        <v>0</v>
      </c>
      <c r="Q612">
        <v>0</v>
      </c>
      <c r="R612">
        <v>0</v>
      </c>
      <c r="S612">
        <v>0</v>
      </c>
      <c r="T612">
        <v>0</v>
      </c>
      <c r="U612">
        <v>0</v>
      </c>
      <c r="V612">
        <v>0</v>
      </c>
      <c r="W612" s="8">
        <v>0</v>
      </c>
      <c r="X612">
        <v>0</v>
      </c>
      <c r="Y612">
        <v>0</v>
      </c>
      <c r="Z612" s="8"/>
      <c r="AA612" s="8" t="s">
        <v>515</v>
      </c>
      <c r="AB612" t="s">
        <v>21</v>
      </c>
    </row>
    <row r="613" spans="1:28">
      <c r="A613" s="8">
        <v>2018</v>
      </c>
      <c r="B613" s="8">
        <v>186</v>
      </c>
      <c r="D613" s="8" t="s">
        <v>60</v>
      </c>
      <c r="F613" t="s">
        <v>61</v>
      </c>
      <c r="G613" s="8" t="s">
        <v>22</v>
      </c>
      <c r="H613" t="s">
        <v>24</v>
      </c>
      <c r="I613" s="8" t="s">
        <v>22</v>
      </c>
      <c r="J613" t="s">
        <v>24</v>
      </c>
      <c r="K613" s="8" t="s">
        <v>25</v>
      </c>
      <c r="L613" t="s">
        <v>26</v>
      </c>
      <c r="O613">
        <v>0</v>
      </c>
      <c r="P613">
        <v>0</v>
      </c>
      <c r="Q613">
        <v>1</v>
      </c>
      <c r="R613">
        <v>0</v>
      </c>
      <c r="S613">
        <v>0</v>
      </c>
      <c r="T613">
        <v>0</v>
      </c>
      <c r="U613">
        <v>0</v>
      </c>
      <c r="V613">
        <v>0</v>
      </c>
      <c r="W613" s="8">
        <v>0</v>
      </c>
      <c r="X613">
        <v>0</v>
      </c>
      <c r="Y613">
        <v>0</v>
      </c>
      <c r="Z613" s="8"/>
      <c r="AA613" s="8" t="s">
        <v>515</v>
      </c>
      <c r="AB613" t="s">
        <v>21</v>
      </c>
    </row>
    <row r="614" spans="1:28">
      <c r="A614" s="8">
        <v>2018</v>
      </c>
      <c r="B614" s="8">
        <v>187</v>
      </c>
      <c r="D614" s="8" t="s">
        <v>60</v>
      </c>
      <c r="E614" s="8" t="s">
        <v>209</v>
      </c>
      <c r="F614" t="s">
        <v>61</v>
      </c>
      <c r="G614" s="8" t="s">
        <v>223</v>
      </c>
      <c r="H614" t="s">
        <v>228</v>
      </c>
      <c r="I614" s="8" t="s">
        <v>223</v>
      </c>
      <c r="J614" t="s">
        <v>228</v>
      </c>
      <c r="K614" s="8" t="s">
        <v>41</v>
      </c>
      <c r="L614" t="s">
        <v>223</v>
      </c>
      <c r="O614">
        <v>1</v>
      </c>
      <c r="P614">
        <v>0</v>
      </c>
      <c r="Q614">
        <v>1</v>
      </c>
      <c r="R614">
        <v>0</v>
      </c>
      <c r="S614">
        <v>0</v>
      </c>
      <c r="T614">
        <v>0</v>
      </c>
      <c r="U614">
        <v>0</v>
      </c>
      <c r="V614">
        <v>0</v>
      </c>
      <c r="W614" s="8">
        <v>0</v>
      </c>
      <c r="X614">
        <v>0</v>
      </c>
      <c r="Y614">
        <v>0</v>
      </c>
      <c r="Z614" s="8"/>
      <c r="AA614" s="8" t="s">
        <v>516</v>
      </c>
      <c r="AB614" t="s">
        <v>21</v>
      </c>
    </row>
    <row r="615" spans="1:28">
      <c r="A615" s="8">
        <v>2018</v>
      </c>
      <c r="B615" s="8">
        <v>187</v>
      </c>
      <c r="D615" s="8" t="s">
        <v>60</v>
      </c>
      <c r="E615" s="8" t="s">
        <v>209</v>
      </c>
      <c r="F615" t="s">
        <v>61</v>
      </c>
      <c r="G615" s="8" t="s">
        <v>252</v>
      </c>
      <c r="I615" s="8" t="s">
        <v>223</v>
      </c>
      <c r="J615" t="s">
        <v>228</v>
      </c>
      <c r="K615" s="8" t="s">
        <v>41</v>
      </c>
      <c r="L615" t="s">
        <v>223</v>
      </c>
      <c r="O615">
        <v>1</v>
      </c>
      <c r="P615">
        <v>0</v>
      </c>
      <c r="Q615">
        <v>0</v>
      </c>
      <c r="R615">
        <v>0</v>
      </c>
      <c r="S615">
        <v>0</v>
      </c>
      <c r="T615">
        <v>0</v>
      </c>
      <c r="U615">
        <v>0</v>
      </c>
      <c r="V615">
        <v>0</v>
      </c>
      <c r="W615" s="8">
        <v>0</v>
      </c>
      <c r="X615">
        <v>0</v>
      </c>
      <c r="Y615">
        <v>0</v>
      </c>
      <c r="Z615" s="8"/>
      <c r="AA615" s="8" t="s">
        <v>516</v>
      </c>
      <c r="AB615" t="s">
        <v>21</v>
      </c>
    </row>
    <row r="616" spans="1:28">
      <c r="A616" s="8">
        <v>2018</v>
      </c>
      <c r="B616" s="8">
        <v>187</v>
      </c>
      <c r="D616" s="8" t="s">
        <v>60</v>
      </c>
      <c r="E616" s="8" t="s">
        <v>209</v>
      </c>
      <c r="F616" t="s">
        <v>61</v>
      </c>
      <c r="G616" s="8" t="s">
        <v>203</v>
      </c>
      <c r="H616" t="s">
        <v>206</v>
      </c>
      <c r="I616" s="8" t="s">
        <v>223</v>
      </c>
      <c r="J616" t="s">
        <v>228</v>
      </c>
      <c r="K616" s="8" t="s">
        <v>41</v>
      </c>
      <c r="L616" t="s">
        <v>223</v>
      </c>
      <c r="O616">
        <v>1</v>
      </c>
      <c r="P616">
        <v>0</v>
      </c>
      <c r="Q616">
        <v>0</v>
      </c>
      <c r="R616">
        <v>0</v>
      </c>
      <c r="S616">
        <v>0</v>
      </c>
      <c r="T616">
        <v>0</v>
      </c>
      <c r="U616">
        <v>0</v>
      </c>
      <c r="V616">
        <v>0</v>
      </c>
      <c r="W616" s="8">
        <v>0</v>
      </c>
      <c r="X616">
        <v>0</v>
      </c>
      <c r="Y616">
        <v>0</v>
      </c>
      <c r="Z616" s="8"/>
      <c r="AA616" s="8" t="s">
        <v>516</v>
      </c>
      <c r="AB616" t="s">
        <v>21</v>
      </c>
    </row>
    <row r="617" spans="1:28">
      <c r="A617" s="8">
        <v>2018</v>
      </c>
      <c r="B617" s="8">
        <v>187</v>
      </c>
      <c r="D617" s="8" t="s">
        <v>60</v>
      </c>
      <c r="E617" s="8" t="s">
        <v>209</v>
      </c>
      <c r="F617" t="s">
        <v>61</v>
      </c>
      <c r="G617" s="8" t="s">
        <v>202</v>
      </c>
      <c r="H617" t="s">
        <v>205</v>
      </c>
      <c r="I617" s="8" t="s">
        <v>223</v>
      </c>
      <c r="J617" t="s">
        <v>228</v>
      </c>
      <c r="K617" s="8" t="s">
        <v>41</v>
      </c>
      <c r="L617" t="s">
        <v>223</v>
      </c>
      <c r="O617">
        <v>1</v>
      </c>
      <c r="P617">
        <v>0</v>
      </c>
      <c r="Q617">
        <v>0</v>
      </c>
      <c r="R617">
        <v>0</v>
      </c>
      <c r="S617">
        <v>0</v>
      </c>
      <c r="T617">
        <v>0</v>
      </c>
      <c r="U617">
        <v>0</v>
      </c>
      <c r="V617">
        <v>0</v>
      </c>
      <c r="W617" s="8">
        <v>0</v>
      </c>
      <c r="X617">
        <v>0</v>
      </c>
      <c r="Y617">
        <v>0</v>
      </c>
      <c r="Z617" s="8"/>
      <c r="AA617" s="8" t="s">
        <v>516</v>
      </c>
      <c r="AB617" t="s">
        <v>21</v>
      </c>
    </row>
    <row r="618" spans="1:28">
      <c r="A618" s="8">
        <v>2018</v>
      </c>
      <c r="B618" s="8">
        <v>187</v>
      </c>
      <c r="D618" s="8" t="s">
        <v>60</v>
      </c>
      <c r="E618" s="8" t="s">
        <v>209</v>
      </c>
      <c r="F618" t="s">
        <v>61</v>
      </c>
      <c r="G618" s="8" t="s">
        <v>193</v>
      </c>
      <c r="H618" t="s">
        <v>185</v>
      </c>
      <c r="I618" s="8" t="s">
        <v>223</v>
      </c>
      <c r="J618" t="s">
        <v>228</v>
      </c>
      <c r="K618" s="8" t="s">
        <v>41</v>
      </c>
      <c r="L618" t="s">
        <v>223</v>
      </c>
      <c r="O618">
        <v>1</v>
      </c>
      <c r="P618">
        <v>0</v>
      </c>
      <c r="Q618">
        <v>0</v>
      </c>
      <c r="R618">
        <v>0</v>
      </c>
      <c r="S618">
        <v>0</v>
      </c>
      <c r="T618">
        <v>0</v>
      </c>
      <c r="U618">
        <v>0</v>
      </c>
      <c r="V618">
        <v>0</v>
      </c>
      <c r="W618" s="8">
        <v>0</v>
      </c>
      <c r="X618">
        <v>0</v>
      </c>
      <c r="Y618">
        <v>0</v>
      </c>
      <c r="Z618" s="8"/>
      <c r="AA618" s="8" t="s">
        <v>516</v>
      </c>
      <c r="AB618" t="s">
        <v>21</v>
      </c>
    </row>
    <row r="619" spans="1:28">
      <c r="A619" s="8">
        <v>2018</v>
      </c>
      <c r="B619" s="8">
        <v>187</v>
      </c>
      <c r="D619" s="8" t="s">
        <v>60</v>
      </c>
      <c r="E619" s="8" t="s">
        <v>209</v>
      </c>
      <c r="F619" t="s">
        <v>61</v>
      </c>
      <c r="G619" s="8" t="s">
        <v>37</v>
      </c>
      <c r="I619" s="8" t="s">
        <v>223</v>
      </c>
      <c r="J619" t="s">
        <v>228</v>
      </c>
      <c r="K619" s="8" t="s">
        <v>41</v>
      </c>
      <c r="L619" t="s">
        <v>223</v>
      </c>
      <c r="O619">
        <v>1</v>
      </c>
      <c r="P619">
        <v>0</v>
      </c>
      <c r="Q619">
        <v>0</v>
      </c>
      <c r="R619">
        <v>0</v>
      </c>
      <c r="S619">
        <v>0</v>
      </c>
      <c r="T619">
        <v>0</v>
      </c>
      <c r="U619">
        <v>0</v>
      </c>
      <c r="V619">
        <v>0</v>
      </c>
      <c r="W619" s="8">
        <v>0</v>
      </c>
      <c r="X619">
        <v>0</v>
      </c>
      <c r="Y619">
        <v>0</v>
      </c>
      <c r="Z619" s="8"/>
      <c r="AA619" s="8" t="s">
        <v>516</v>
      </c>
      <c r="AB619" t="s">
        <v>21</v>
      </c>
    </row>
    <row r="620" spans="1:28">
      <c r="A620" s="8">
        <v>2018</v>
      </c>
      <c r="B620" s="8">
        <v>188</v>
      </c>
      <c r="D620" s="8" t="s">
        <v>60</v>
      </c>
      <c r="E620" s="8" t="s">
        <v>209</v>
      </c>
      <c r="F620" t="s">
        <v>61</v>
      </c>
      <c r="G620" s="8" t="s">
        <v>223</v>
      </c>
      <c r="H620" t="s">
        <v>228</v>
      </c>
      <c r="I620" s="8" t="s">
        <v>223</v>
      </c>
      <c r="J620" t="s">
        <v>228</v>
      </c>
      <c r="K620" s="8" t="s">
        <v>41</v>
      </c>
      <c r="L620" t="s">
        <v>223</v>
      </c>
      <c r="O620">
        <v>1</v>
      </c>
      <c r="P620">
        <v>0</v>
      </c>
      <c r="Q620">
        <v>1</v>
      </c>
      <c r="R620">
        <v>0</v>
      </c>
      <c r="S620">
        <v>0</v>
      </c>
      <c r="T620">
        <v>0</v>
      </c>
      <c r="U620">
        <v>0</v>
      </c>
      <c r="V620">
        <v>0</v>
      </c>
      <c r="W620" s="8">
        <v>0</v>
      </c>
      <c r="X620">
        <v>0</v>
      </c>
      <c r="Y620">
        <v>0</v>
      </c>
      <c r="Z620" s="8"/>
      <c r="AA620" s="8" t="s">
        <v>517</v>
      </c>
      <c r="AB620" t="s">
        <v>21</v>
      </c>
    </row>
    <row r="621" spans="1:28">
      <c r="A621" s="8">
        <v>2018</v>
      </c>
      <c r="B621" s="8">
        <v>188</v>
      </c>
      <c r="D621" s="8" t="s">
        <v>60</v>
      </c>
      <c r="E621" s="8" t="s">
        <v>209</v>
      </c>
      <c r="F621" t="s">
        <v>61</v>
      </c>
      <c r="G621" s="8" t="s">
        <v>252</v>
      </c>
      <c r="I621" s="8" t="s">
        <v>223</v>
      </c>
      <c r="J621" t="s">
        <v>228</v>
      </c>
      <c r="K621" s="8" t="s">
        <v>41</v>
      </c>
      <c r="L621" t="s">
        <v>223</v>
      </c>
      <c r="O621">
        <v>1</v>
      </c>
      <c r="P621">
        <v>0</v>
      </c>
      <c r="Q621">
        <v>0</v>
      </c>
      <c r="R621">
        <v>0</v>
      </c>
      <c r="S621">
        <v>0</v>
      </c>
      <c r="T621">
        <v>0</v>
      </c>
      <c r="U621">
        <v>0</v>
      </c>
      <c r="V621">
        <v>0</v>
      </c>
      <c r="W621" s="8">
        <v>0</v>
      </c>
      <c r="X621">
        <v>0</v>
      </c>
      <c r="Y621">
        <v>0</v>
      </c>
      <c r="Z621" s="8"/>
      <c r="AA621" s="8" t="s">
        <v>517</v>
      </c>
      <c r="AB621" t="s">
        <v>21</v>
      </c>
    </row>
    <row r="622" spans="1:28">
      <c r="A622" s="8">
        <v>2018</v>
      </c>
      <c r="B622" s="8">
        <v>188</v>
      </c>
      <c r="D622" s="8" t="s">
        <v>60</v>
      </c>
      <c r="E622" s="8" t="s">
        <v>209</v>
      </c>
      <c r="F622" t="s">
        <v>61</v>
      </c>
      <c r="G622" s="8" t="s">
        <v>203</v>
      </c>
      <c r="H622" t="s">
        <v>206</v>
      </c>
      <c r="I622" s="8" t="s">
        <v>223</v>
      </c>
      <c r="J622" t="s">
        <v>228</v>
      </c>
      <c r="K622" s="8" t="s">
        <v>41</v>
      </c>
      <c r="L622" t="s">
        <v>223</v>
      </c>
      <c r="O622">
        <v>1</v>
      </c>
      <c r="P622">
        <v>0</v>
      </c>
      <c r="Q622">
        <v>0</v>
      </c>
      <c r="R622">
        <v>0</v>
      </c>
      <c r="S622">
        <v>0</v>
      </c>
      <c r="T622">
        <v>0</v>
      </c>
      <c r="U622">
        <v>0</v>
      </c>
      <c r="V622">
        <v>0</v>
      </c>
      <c r="W622" s="8">
        <v>0</v>
      </c>
      <c r="X622">
        <v>0</v>
      </c>
      <c r="Y622">
        <v>0</v>
      </c>
      <c r="Z622" s="8"/>
      <c r="AA622" s="8" t="s">
        <v>517</v>
      </c>
      <c r="AB622" t="s">
        <v>21</v>
      </c>
    </row>
    <row r="623" spans="1:28">
      <c r="A623" s="8">
        <v>2018</v>
      </c>
      <c r="B623" s="8">
        <v>188</v>
      </c>
      <c r="D623" s="8" t="s">
        <v>60</v>
      </c>
      <c r="E623" s="8" t="s">
        <v>209</v>
      </c>
      <c r="F623" t="s">
        <v>61</v>
      </c>
      <c r="G623" s="8" t="s">
        <v>202</v>
      </c>
      <c r="H623" t="s">
        <v>205</v>
      </c>
      <c r="I623" s="8" t="s">
        <v>223</v>
      </c>
      <c r="J623" t="s">
        <v>228</v>
      </c>
      <c r="K623" s="8" t="s">
        <v>41</v>
      </c>
      <c r="L623" t="s">
        <v>223</v>
      </c>
      <c r="O623">
        <v>1</v>
      </c>
      <c r="P623">
        <v>0</v>
      </c>
      <c r="Q623">
        <v>0</v>
      </c>
      <c r="R623">
        <v>0</v>
      </c>
      <c r="S623">
        <v>0</v>
      </c>
      <c r="T623">
        <v>0</v>
      </c>
      <c r="U623">
        <v>0</v>
      </c>
      <c r="V623">
        <v>0</v>
      </c>
      <c r="W623" s="8">
        <v>0</v>
      </c>
      <c r="X623">
        <v>0</v>
      </c>
      <c r="Y623">
        <v>0</v>
      </c>
      <c r="Z623" s="8"/>
      <c r="AA623" s="8" t="s">
        <v>517</v>
      </c>
      <c r="AB623" t="s">
        <v>21</v>
      </c>
    </row>
    <row r="624" spans="1:28">
      <c r="A624" s="8">
        <v>2018</v>
      </c>
      <c r="B624" s="8">
        <v>188</v>
      </c>
      <c r="D624" s="8" t="s">
        <v>60</v>
      </c>
      <c r="E624" s="8" t="s">
        <v>209</v>
      </c>
      <c r="F624" t="s">
        <v>61</v>
      </c>
      <c r="G624" s="8" t="s">
        <v>193</v>
      </c>
      <c r="H624" t="s">
        <v>185</v>
      </c>
      <c r="I624" s="8" t="s">
        <v>223</v>
      </c>
      <c r="J624" t="s">
        <v>228</v>
      </c>
      <c r="K624" s="8" t="s">
        <v>41</v>
      </c>
      <c r="L624" t="s">
        <v>223</v>
      </c>
      <c r="O624">
        <v>1</v>
      </c>
      <c r="P624">
        <v>0</v>
      </c>
      <c r="Q624">
        <v>0</v>
      </c>
      <c r="R624">
        <v>0</v>
      </c>
      <c r="S624">
        <v>0</v>
      </c>
      <c r="T624">
        <v>0</v>
      </c>
      <c r="U624">
        <v>0</v>
      </c>
      <c r="V624">
        <v>0</v>
      </c>
      <c r="W624" s="8">
        <v>0</v>
      </c>
      <c r="X624">
        <v>0</v>
      </c>
      <c r="Y624">
        <v>0</v>
      </c>
      <c r="Z624" s="8"/>
      <c r="AA624" s="8" t="s">
        <v>517</v>
      </c>
      <c r="AB624" t="s">
        <v>21</v>
      </c>
    </row>
    <row r="625" spans="1:30">
      <c r="A625" s="8">
        <v>2018</v>
      </c>
      <c r="B625" s="8">
        <v>189</v>
      </c>
      <c r="D625" s="8" t="s">
        <v>60</v>
      </c>
      <c r="E625" s="8" t="s">
        <v>209</v>
      </c>
      <c r="F625" t="s">
        <v>61</v>
      </c>
      <c r="G625" s="8" t="s">
        <v>223</v>
      </c>
      <c r="H625" t="s">
        <v>228</v>
      </c>
      <c r="I625" s="8" t="s">
        <v>223</v>
      </c>
      <c r="J625" t="s">
        <v>228</v>
      </c>
      <c r="K625" s="8" t="s">
        <v>41</v>
      </c>
      <c r="L625" t="s">
        <v>223</v>
      </c>
      <c r="O625">
        <v>1</v>
      </c>
      <c r="P625">
        <v>0</v>
      </c>
      <c r="Q625">
        <v>1</v>
      </c>
      <c r="R625">
        <v>0</v>
      </c>
      <c r="S625">
        <v>0</v>
      </c>
      <c r="T625">
        <v>0</v>
      </c>
      <c r="U625">
        <v>0</v>
      </c>
      <c r="V625">
        <v>0</v>
      </c>
      <c r="W625" s="8">
        <v>1</v>
      </c>
      <c r="X625">
        <v>1</v>
      </c>
      <c r="Y625">
        <v>0</v>
      </c>
      <c r="Z625" s="8" t="s">
        <v>225</v>
      </c>
      <c r="AA625" s="8" t="s">
        <v>518</v>
      </c>
      <c r="AB625" t="s">
        <v>21</v>
      </c>
      <c r="AD625" t="s">
        <v>519</v>
      </c>
    </row>
    <row r="626" spans="1:30">
      <c r="A626" s="8">
        <v>2018</v>
      </c>
      <c r="B626" s="8">
        <v>189</v>
      </c>
      <c r="D626" s="8" t="s">
        <v>60</v>
      </c>
      <c r="E626" s="8" t="s">
        <v>209</v>
      </c>
      <c r="F626" t="s">
        <v>61</v>
      </c>
      <c r="G626" s="8" t="s">
        <v>252</v>
      </c>
      <c r="I626" s="8" t="s">
        <v>223</v>
      </c>
      <c r="J626" t="s">
        <v>228</v>
      </c>
      <c r="K626" s="8" t="s">
        <v>41</v>
      </c>
      <c r="L626" t="s">
        <v>223</v>
      </c>
      <c r="O626">
        <v>1</v>
      </c>
      <c r="P626">
        <v>0</v>
      </c>
      <c r="Q626">
        <v>0</v>
      </c>
      <c r="R626">
        <v>0</v>
      </c>
      <c r="S626">
        <v>0</v>
      </c>
      <c r="T626">
        <v>0</v>
      </c>
      <c r="U626">
        <v>0</v>
      </c>
      <c r="V626">
        <v>0</v>
      </c>
      <c r="W626" s="8">
        <v>1</v>
      </c>
      <c r="X626">
        <v>1</v>
      </c>
      <c r="Y626">
        <v>0</v>
      </c>
      <c r="Z626" s="8" t="s">
        <v>225</v>
      </c>
      <c r="AA626" s="8" t="s">
        <v>518</v>
      </c>
      <c r="AB626" t="s">
        <v>21</v>
      </c>
      <c r="AD626" t="s">
        <v>519</v>
      </c>
    </row>
    <row r="627" spans="1:30">
      <c r="A627" s="8">
        <v>2018</v>
      </c>
      <c r="B627" s="8">
        <v>189</v>
      </c>
      <c r="D627" s="8" t="s">
        <v>60</v>
      </c>
      <c r="E627" s="8" t="s">
        <v>209</v>
      </c>
      <c r="F627" t="s">
        <v>61</v>
      </c>
      <c r="G627" s="8" t="s">
        <v>203</v>
      </c>
      <c r="H627" t="s">
        <v>206</v>
      </c>
      <c r="I627" s="8" t="s">
        <v>223</v>
      </c>
      <c r="J627" t="s">
        <v>228</v>
      </c>
      <c r="K627" s="8" t="s">
        <v>41</v>
      </c>
      <c r="L627" t="s">
        <v>223</v>
      </c>
      <c r="O627">
        <v>1</v>
      </c>
      <c r="P627">
        <v>0</v>
      </c>
      <c r="Q627">
        <v>0</v>
      </c>
      <c r="R627">
        <v>0</v>
      </c>
      <c r="S627">
        <v>0</v>
      </c>
      <c r="T627">
        <v>0</v>
      </c>
      <c r="U627">
        <v>0</v>
      </c>
      <c r="V627">
        <v>0</v>
      </c>
      <c r="W627" s="8">
        <v>1</v>
      </c>
      <c r="X627">
        <v>1</v>
      </c>
      <c r="Y627">
        <v>0</v>
      </c>
      <c r="Z627" s="8" t="s">
        <v>225</v>
      </c>
      <c r="AA627" s="8" t="s">
        <v>518</v>
      </c>
      <c r="AB627" t="s">
        <v>21</v>
      </c>
      <c r="AD627" t="s">
        <v>519</v>
      </c>
    </row>
    <row r="628" spans="1:30">
      <c r="A628" s="8">
        <v>2018</v>
      </c>
      <c r="B628" s="8">
        <v>189</v>
      </c>
      <c r="D628" s="8" t="s">
        <v>60</v>
      </c>
      <c r="E628" s="8" t="s">
        <v>209</v>
      </c>
      <c r="F628" t="s">
        <v>61</v>
      </c>
      <c r="G628" s="8" t="s">
        <v>202</v>
      </c>
      <c r="H628" t="s">
        <v>205</v>
      </c>
      <c r="I628" s="8" t="s">
        <v>223</v>
      </c>
      <c r="J628" t="s">
        <v>228</v>
      </c>
      <c r="K628" s="8" t="s">
        <v>41</v>
      </c>
      <c r="L628" t="s">
        <v>223</v>
      </c>
      <c r="O628">
        <v>1</v>
      </c>
      <c r="P628">
        <v>0</v>
      </c>
      <c r="Q628">
        <v>0</v>
      </c>
      <c r="R628">
        <v>0</v>
      </c>
      <c r="S628">
        <v>0</v>
      </c>
      <c r="T628">
        <v>0</v>
      </c>
      <c r="U628">
        <v>0</v>
      </c>
      <c r="V628">
        <v>0</v>
      </c>
      <c r="W628" s="8">
        <v>1</v>
      </c>
      <c r="X628">
        <v>1</v>
      </c>
      <c r="Y628">
        <v>0</v>
      </c>
      <c r="Z628" s="8" t="s">
        <v>225</v>
      </c>
      <c r="AA628" s="8" t="s">
        <v>518</v>
      </c>
      <c r="AB628" t="s">
        <v>21</v>
      </c>
      <c r="AD628" t="s">
        <v>519</v>
      </c>
    </row>
    <row r="629" spans="1:30">
      <c r="A629" s="8">
        <v>2018</v>
      </c>
      <c r="B629" s="8">
        <v>189</v>
      </c>
      <c r="D629" s="8" t="s">
        <v>60</v>
      </c>
      <c r="E629" s="8" t="s">
        <v>209</v>
      </c>
      <c r="F629" t="s">
        <v>61</v>
      </c>
      <c r="G629" s="8" t="s">
        <v>193</v>
      </c>
      <c r="H629" t="s">
        <v>185</v>
      </c>
      <c r="I629" s="8" t="s">
        <v>223</v>
      </c>
      <c r="J629" t="s">
        <v>228</v>
      </c>
      <c r="K629" s="8" t="s">
        <v>41</v>
      </c>
      <c r="L629" t="s">
        <v>223</v>
      </c>
      <c r="O629">
        <v>1</v>
      </c>
      <c r="P629">
        <v>0</v>
      </c>
      <c r="Q629">
        <v>0</v>
      </c>
      <c r="R629">
        <v>0</v>
      </c>
      <c r="S629">
        <v>0</v>
      </c>
      <c r="T629">
        <v>0</v>
      </c>
      <c r="U629">
        <v>0</v>
      </c>
      <c r="V629">
        <v>0</v>
      </c>
      <c r="W629" s="8">
        <v>1</v>
      </c>
      <c r="X629">
        <v>1</v>
      </c>
      <c r="Y629">
        <v>0</v>
      </c>
      <c r="Z629" s="8" t="s">
        <v>225</v>
      </c>
      <c r="AA629" s="8" t="s">
        <v>518</v>
      </c>
      <c r="AB629" t="s">
        <v>21</v>
      </c>
      <c r="AD629" t="s">
        <v>519</v>
      </c>
    </row>
    <row r="630" spans="1:30">
      <c r="A630" s="8">
        <v>2018</v>
      </c>
      <c r="B630" s="8">
        <v>189</v>
      </c>
      <c r="D630" s="8" t="s">
        <v>60</v>
      </c>
      <c r="E630" s="8" t="s">
        <v>209</v>
      </c>
      <c r="F630" t="s">
        <v>61</v>
      </c>
      <c r="G630" s="8" t="s">
        <v>37</v>
      </c>
      <c r="I630" s="8" t="s">
        <v>223</v>
      </c>
      <c r="J630" t="s">
        <v>228</v>
      </c>
      <c r="K630" s="8" t="s">
        <v>41</v>
      </c>
      <c r="L630" t="s">
        <v>223</v>
      </c>
      <c r="O630">
        <v>1</v>
      </c>
      <c r="P630">
        <v>0</v>
      </c>
      <c r="Q630">
        <v>0</v>
      </c>
      <c r="R630">
        <v>0</v>
      </c>
      <c r="S630">
        <v>0</v>
      </c>
      <c r="T630">
        <v>0</v>
      </c>
      <c r="U630">
        <v>1</v>
      </c>
      <c r="V630">
        <v>0</v>
      </c>
      <c r="W630" s="8">
        <v>1</v>
      </c>
      <c r="X630">
        <v>1</v>
      </c>
      <c r="Y630">
        <v>0</v>
      </c>
      <c r="Z630" s="8" t="s">
        <v>225</v>
      </c>
      <c r="AA630" s="8" t="s">
        <v>518</v>
      </c>
      <c r="AB630" t="s">
        <v>21</v>
      </c>
      <c r="AD630" t="s">
        <v>519</v>
      </c>
    </row>
    <row r="631" spans="1:30">
      <c r="A631" s="8">
        <v>2018</v>
      </c>
      <c r="B631" s="8">
        <v>190</v>
      </c>
      <c r="D631" s="8" t="s">
        <v>18</v>
      </c>
      <c r="F631" t="s">
        <v>19</v>
      </c>
      <c r="G631" s="8" t="s">
        <v>35</v>
      </c>
      <c r="I631" s="8" t="s">
        <v>22</v>
      </c>
      <c r="J631" t="s">
        <v>24</v>
      </c>
      <c r="K631" s="8" t="s">
        <v>41</v>
      </c>
      <c r="L631" t="s">
        <v>35</v>
      </c>
      <c r="O631">
        <v>0</v>
      </c>
      <c r="P631">
        <v>1</v>
      </c>
      <c r="Q631">
        <v>1</v>
      </c>
      <c r="R631">
        <v>0</v>
      </c>
      <c r="S631">
        <v>0</v>
      </c>
      <c r="T631">
        <v>0</v>
      </c>
      <c r="U631">
        <v>0</v>
      </c>
      <c r="V631">
        <v>0</v>
      </c>
      <c r="W631" s="8">
        <v>0</v>
      </c>
      <c r="X631">
        <v>0</v>
      </c>
      <c r="Y631">
        <v>0</v>
      </c>
      <c r="Z631" s="8"/>
      <c r="AA631" s="8" t="s">
        <v>520</v>
      </c>
      <c r="AB631" t="s">
        <v>21</v>
      </c>
    </row>
    <row r="632" spans="1:30">
      <c r="A632" s="8">
        <v>2018</v>
      </c>
      <c r="B632" s="8">
        <v>190</v>
      </c>
      <c r="D632" s="8" t="s">
        <v>18</v>
      </c>
      <c r="F632" t="s">
        <v>19</v>
      </c>
      <c r="G632" s="8" t="s">
        <v>152</v>
      </c>
      <c r="H632" t="s">
        <v>184</v>
      </c>
      <c r="I632" s="8" t="s">
        <v>22</v>
      </c>
      <c r="J632" t="s">
        <v>24</v>
      </c>
      <c r="K632" s="8" t="s">
        <v>41</v>
      </c>
      <c r="L632" t="s">
        <v>35</v>
      </c>
      <c r="O632">
        <v>0</v>
      </c>
      <c r="P632">
        <v>1</v>
      </c>
      <c r="Q632">
        <v>0</v>
      </c>
      <c r="R632">
        <v>0</v>
      </c>
      <c r="S632">
        <v>0</v>
      </c>
      <c r="T632">
        <v>0</v>
      </c>
      <c r="U632">
        <v>0</v>
      </c>
      <c r="V632">
        <v>0</v>
      </c>
      <c r="W632" s="8">
        <v>0</v>
      </c>
      <c r="X632">
        <v>0</v>
      </c>
      <c r="Y632">
        <v>0</v>
      </c>
      <c r="Z632" s="8"/>
      <c r="AA632" s="8" t="s">
        <v>520</v>
      </c>
      <c r="AB632" t="s">
        <v>21</v>
      </c>
    </row>
    <row r="633" spans="1:30">
      <c r="A633" s="8">
        <v>2018</v>
      </c>
      <c r="B633" s="8">
        <v>190</v>
      </c>
      <c r="D633" s="8" t="s">
        <v>18</v>
      </c>
      <c r="F633" t="s">
        <v>19</v>
      </c>
      <c r="G633" s="8" t="s">
        <v>22</v>
      </c>
      <c r="H633" t="s">
        <v>24</v>
      </c>
      <c r="I633" s="8" t="s">
        <v>22</v>
      </c>
      <c r="J633" t="s">
        <v>24</v>
      </c>
      <c r="K633" s="8" t="s">
        <v>41</v>
      </c>
      <c r="L633" t="s">
        <v>35</v>
      </c>
      <c r="O633">
        <v>0</v>
      </c>
      <c r="P633">
        <v>1</v>
      </c>
      <c r="Q633">
        <v>1</v>
      </c>
      <c r="R633">
        <v>0</v>
      </c>
      <c r="S633">
        <v>0</v>
      </c>
      <c r="T633">
        <v>0</v>
      </c>
      <c r="U633">
        <v>0</v>
      </c>
      <c r="V633">
        <v>0</v>
      </c>
      <c r="W633" s="8">
        <v>0</v>
      </c>
      <c r="X633">
        <v>0</v>
      </c>
      <c r="Y633">
        <v>0</v>
      </c>
      <c r="Z633" s="8"/>
      <c r="AA633" s="8" t="s">
        <v>520</v>
      </c>
      <c r="AB633" t="s">
        <v>21</v>
      </c>
    </row>
    <row r="634" spans="1:30">
      <c r="A634" s="8">
        <v>2018</v>
      </c>
      <c r="B634" s="8">
        <v>190</v>
      </c>
      <c r="D634" s="8" t="s">
        <v>18</v>
      </c>
      <c r="F634" t="s">
        <v>19</v>
      </c>
      <c r="G634" s="8" t="s">
        <v>191</v>
      </c>
      <c r="H634" t="s">
        <v>194</v>
      </c>
      <c r="I634" s="8" t="s">
        <v>22</v>
      </c>
      <c r="J634" t="s">
        <v>24</v>
      </c>
      <c r="K634" s="8" t="s">
        <v>41</v>
      </c>
      <c r="L634" t="s">
        <v>35</v>
      </c>
      <c r="O634">
        <v>0</v>
      </c>
      <c r="P634">
        <v>1</v>
      </c>
      <c r="Q634">
        <v>0</v>
      </c>
      <c r="R634">
        <v>0</v>
      </c>
      <c r="S634">
        <v>0</v>
      </c>
      <c r="T634">
        <v>0</v>
      </c>
      <c r="U634">
        <v>0</v>
      </c>
      <c r="V634">
        <v>0</v>
      </c>
      <c r="W634" s="8">
        <v>0</v>
      </c>
      <c r="X634">
        <v>0</v>
      </c>
      <c r="Y634">
        <v>0</v>
      </c>
      <c r="Z634" s="8"/>
      <c r="AA634" s="8" t="s">
        <v>520</v>
      </c>
      <c r="AB634" t="s">
        <v>21</v>
      </c>
    </row>
    <row r="635" spans="1:30">
      <c r="A635" s="8">
        <v>2018</v>
      </c>
      <c r="B635" s="8">
        <v>190</v>
      </c>
      <c r="D635" s="8" t="s">
        <v>18</v>
      </c>
      <c r="F635" t="s">
        <v>19</v>
      </c>
      <c r="G635" s="8" t="s">
        <v>192</v>
      </c>
      <c r="H635" t="s">
        <v>195</v>
      </c>
      <c r="I635" s="8" t="s">
        <v>22</v>
      </c>
      <c r="J635" t="s">
        <v>24</v>
      </c>
      <c r="K635" s="8" t="s">
        <v>41</v>
      </c>
      <c r="L635" t="s">
        <v>35</v>
      </c>
      <c r="O635">
        <v>0</v>
      </c>
      <c r="P635">
        <v>1</v>
      </c>
      <c r="Q635">
        <v>0</v>
      </c>
      <c r="R635">
        <v>0</v>
      </c>
      <c r="S635">
        <v>0</v>
      </c>
      <c r="T635">
        <v>0</v>
      </c>
      <c r="U635">
        <v>0</v>
      </c>
      <c r="V635">
        <v>0</v>
      </c>
      <c r="W635" s="8">
        <v>0</v>
      </c>
      <c r="X635">
        <v>0</v>
      </c>
      <c r="Y635">
        <v>0</v>
      </c>
      <c r="Z635" s="8"/>
      <c r="AA635" s="8" t="s">
        <v>520</v>
      </c>
      <c r="AB635" t="s">
        <v>21</v>
      </c>
    </row>
    <row r="636" spans="1:30">
      <c r="A636" s="8">
        <v>2018</v>
      </c>
      <c r="B636" s="8">
        <v>190</v>
      </c>
      <c r="D636" s="8" t="s">
        <v>18</v>
      </c>
      <c r="F636" t="s">
        <v>19</v>
      </c>
      <c r="G636" s="8" t="s">
        <v>60</v>
      </c>
      <c r="H636" t="s">
        <v>61</v>
      </c>
      <c r="I636" s="8" t="s">
        <v>22</v>
      </c>
      <c r="J636" t="s">
        <v>24</v>
      </c>
      <c r="K636" s="8" t="s">
        <v>41</v>
      </c>
      <c r="L636" t="s">
        <v>35</v>
      </c>
      <c r="O636">
        <v>0</v>
      </c>
      <c r="P636">
        <v>1</v>
      </c>
      <c r="Q636">
        <v>0</v>
      </c>
      <c r="R636">
        <v>0</v>
      </c>
      <c r="S636">
        <v>0</v>
      </c>
      <c r="T636">
        <v>0</v>
      </c>
      <c r="U636">
        <v>0</v>
      </c>
      <c r="V636">
        <v>0</v>
      </c>
      <c r="W636" s="8">
        <v>0</v>
      </c>
      <c r="X636">
        <v>0</v>
      </c>
      <c r="Y636">
        <v>0</v>
      </c>
      <c r="Z636" s="8"/>
      <c r="AA636" s="8" t="s">
        <v>520</v>
      </c>
      <c r="AB636" t="s">
        <v>21</v>
      </c>
    </row>
    <row r="637" spans="1:30">
      <c r="A637" s="8">
        <v>2018</v>
      </c>
      <c r="B637" s="8">
        <v>190</v>
      </c>
      <c r="D637" s="8" t="s">
        <v>18</v>
      </c>
      <c r="F637" t="s">
        <v>19</v>
      </c>
      <c r="G637" s="8" t="s">
        <v>193</v>
      </c>
      <c r="H637" t="s">
        <v>185</v>
      </c>
      <c r="I637" s="8" t="s">
        <v>22</v>
      </c>
      <c r="J637" t="s">
        <v>24</v>
      </c>
      <c r="K637" s="8" t="s">
        <v>41</v>
      </c>
      <c r="L637" t="s">
        <v>35</v>
      </c>
      <c r="O637">
        <v>0</v>
      </c>
      <c r="P637">
        <v>1</v>
      </c>
      <c r="Q637">
        <v>0</v>
      </c>
      <c r="R637">
        <v>0</v>
      </c>
      <c r="S637">
        <v>1</v>
      </c>
      <c r="T637">
        <v>0</v>
      </c>
      <c r="U637">
        <v>0</v>
      </c>
      <c r="V637">
        <v>0</v>
      </c>
      <c r="W637" s="8">
        <v>0</v>
      </c>
      <c r="X637">
        <v>0</v>
      </c>
      <c r="Y637">
        <v>0</v>
      </c>
      <c r="Z637" s="8"/>
      <c r="AA637" s="8" t="s">
        <v>520</v>
      </c>
      <c r="AB637" t="s">
        <v>21</v>
      </c>
    </row>
    <row r="638" spans="1:30">
      <c r="A638" s="8">
        <v>2018</v>
      </c>
      <c r="B638" s="8">
        <v>190</v>
      </c>
      <c r="D638" s="8" t="s">
        <v>18</v>
      </c>
      <c r="F638" t="s">
        <v>19</v>
      </c>
      <c r="G638" s="8" t="s">
        <v>202</v>
      </c>
      <c r="H638" t="s">
        <v>205</v>
      </c>
      <c r="I638" s="8" t="s">
        <v>22</v>
      </c>
      <c r="J638" t="s">
        <v>24</v>
      </c>
      <c r="K638" s="8" t="s">
        <v>41</v>
      </c>
      <c r="L638" t="s">
        <v>35</v>
      </c>
      <c r="O638">
        <v>0</v>
      </c>
      <c r="P638">
        <v>1</v>
      </c>
      <c r="Q638">
        <v>0</v>
      </c>
      <c r="R638">
        <v>0</v>
      </c>
      <c r="S638">
        <v>1</v>
      </c>
      <c r="T638">
        <v>0</v>
      </c>
      <c r="U638">
        <v>0</v>
      </c>
      <c r="V638">
        <v>0</v>
      </c>
      <c r="W638" s="8">
        <v>0</v>
      </c>
      <c r="X638">
        <v>0</v>
      </c>
      <c r="Y638">
        <v>0</v>
      </c>
      <c r="Z638" s="8"/>
      <c r="AA638" s="8" t="s">
        <v>520</v>
      </c>
      <c r="AB638" t="s">
        <v>21</v>
      </c>
    </row>
    <row r="639" spans="1:30">
      <c r="A639" s="8">
        <v>2018</v>
      </c>
      <c r="B639" s="8">
        <v>190</v>
      </c>
      <c r="D639" s="8" t="s">
        <v>18</v>
      </c>
      <c r="F639" t="s">
        <v>19</v>
      </c>
      <c r="G639" s="8" t="s">
        <v>203</v>
      </c>
      <c r="H639" t="s">
        <v>206</v>
      </c>
      <c r="I639" s="8" t="s">
        <v>22</v>
      </c>
      <c r="J639" t="s">
        <v>24</v>
      </c>
      <c r="K639" s="8" t="s">
        <v>41</v>
      </c>
      <c r="L639" t="s">
        <v>35</v>
      </c>
      <c r="O639">
        <v>0</v>
      </c>
      <c r="P639">
        <v>1</v>
      </c>
      <c r="Q639">
        <v>0</v>
      </c>
      <c r="R639">
        <v>0</v>
      </c>
      <c r="S639">
        <v>1</v>
      </c>
      <c r="T639">
        <v>0</v>
      </c>
      <c r="U639">
        <v>0</v>
      </c>
      <c r="V639">
        <v>0</v>
      </c>
      <c r="W639" s="8">
        <v>0</v>
      </c>
      <c r="X639">
        <v>0</v>
      </c>
      <c r="Y639">
        <v>0</v>
      </c>
      <c r="Z639" s="8"/>
      <c r="AA639" s="8" t="s">
        <v>520</v>
      </c>
      <c r="AB639" t="s">
        <v>21</v>
      </c>
    </row>
    <row r="640" spans="1:30">
      <c r="A640" s="8">
        <v>2018</v>
      </c>
      <c r="B640" s="8">
        <v>191</v>
      </c>
      <c r="D640" s="8" t="s">
        <v>18</v>
      </c>
      <c r="F640" t="s">
        <v>19</v>
      </c>
      <c r="G640" s="8" t="s">
        <v>35</v>
      </c>
      <c r="I640" s="8" t="s">
        <v>22</v>
      </c>
      <c r="J640" t="s">
        <v>24</v>
      </c>
      <c r="K640" s="8" t="s">
        <v>25</v>
      </c>
      <c r="L640" t="s">
        <v>22</v>
      </c>
      <c r="O640">
        <v>1</v>
      </c>
      <c r="P640">
        <v>0</v>
      </c>
      <c r="Q640">
        <v>1</v>
      </c>
      <c r="R640">
        <v>0</v>
      </c>
      <c r="S640">
        <v>0</v>
      </c>
      <c r="T640">
        <v>0</v>
      </c>
      <c r="U640">
        <v>0</v>
      </c>
      <c r="V640">
        <v>0</v>
      </c>
      <c r="W640" s="8">
        <v>0</v>
      </c>
      <c r="X640">
        <v>0</v>
      </c>
      <c r="Y640">
        <v>0</v>
      </c>
      <c r="Z640" s="8"/>
      <c r="AA640" s="8" t="s">
        <v>521</v>
      </c>
      <c r="AB640" t="s">
        <v>21</v>
      </c>
    </row>
    <row r="641" spans="1:30">
      <c r="A641" s="8">
        <v>2018</v>
      </c>
      <c r="B641" s="8">
        <v>191</v>
      </c>
      <c r="D641" s="8" t="s">
        <v>18</v>
      </c>
      <c r="F641" t="s">
        <v>19</v>
      </c>
      <c r="G641" s="8" t="s">
        <v>152</v>
      </c>
      <c r="H641" t="s">
        <v>184</v>
      </c>
      <c r="I641" s="8" t="s">
        <v>22</v>
      </c>
      <c r="J641" t="s">
        <v>24</v>
      </c>
      <c r="K641" s="8" t="s">
        <v>25</v>
      </c>
      <c r="L641" t="s">
        <v>22</v>
      </c>
      <c r="O641">
        <v>1</v>
      </c>
      <c r="P641">
        <v>0</v>
      </c>
      <c r="Q641">
        <v>0</v>
      </c>
      <c r="R641">
        <v>0</v>
      </c>
      <c r="S641">
        <v>0</v>
      </c>
      <c r="T641">
        <v>0</v>
      </c>
      <c r="U641">
        <v>0</v>
      </c>
      <c r="V641">
        <v>0</v>
      </c>
      <c r="W641" s="8">
        <v>0</v>
      </c>
      <c r="X641">
        <v>0</v>
      </c>
      <c r="Y641">
        <v>0</v>
      </c>
      <c r="Z641" s="8"/>
      <c r="AA641" s="8" t="s">
        <v>522</v>
      </c>
      <c r="AB641" t="s">
        <v>21</v>
      </c>
    </row>
    <row r="642" spans="1:30">
      <c r="A642" s="8">
        <v>2018</v>
      </c>
      <c r="B642" s="8">
        <v>191</v>
      </c>
      <c r="D642" s="8" t="s">
        <v>18</v>
      </c>
      <c r="F642" t="s">
        <v>19</v>
      </c>
      <c r="G642" s="8" t="s">
        <v>22</v>
      </c>
      <c r="H642" t="s">
        <v>24</v>
      </c>
      <c r="I642" s="8" t="s">
        <v>22</v>
      </c>
      <c r="J642" t="s">
        <v>24</v>
      </c>
      <c r="K642" s="8" t="s">
        <v>25</v>
      </c>
      <c r="L642" t="s">
        <v>22</v>
      </c>
      <c r="O642">
        <v>1</v>
      </c>
      <c r="P642">
        <v>0</v>
      </c>
      <c r="Q642">
        <v>1</v>
      </c>
      <c r="R642">
        <v>0</v>
      </c>
      <c r="S642">
        <v>0</v>
      </c>
      <c r="T642">
        <v>0</v>
      </c>
      <c r="U642">
        <v>0</v>
      </c>
      <c r="V642">
        <v>0</v>
      </c>
      <c r="W642" s="8">
        <v>0</v>
      </c>
      <c r="X642">
        <v>0</v>
      </c>
      <c r="Y642">
        <v>0</v>
      </c>
      <c r="Z642" s="8"/>
      <c r="AA642" s="8" t="s">
        <v>521</v>
      </c>
      <c r="AB642" t="s">
        <v>21</v>
      </c>
    </row>
    <row r="643" spans="1:30">
      <c r="A643" s="8">
        <v>2018</v>
      </c>
      <c r="B643" s="8">
        <v>191</v>
      </c>
      <c r="D643" s="8" t="s">
        <v>18</v>
      </c>
      <c r="F643" t="s">
        <v>19</v>
      </c>
      <c r="G643" s="8" t="s">
        <v>191</v>
      </c>
      <c r="H643" t="s">
        <v>194</v>
      </c>
      <c r="I643" s="8" t="s">
        <v>22</v>
      </c>
      <c r="J643" t="s">
        <v>24</v>
      </c>
      <c r="K643" s="8" t="s">
        <v>25</v>
      </c>
      <c r="L643" t="s">
        <v>22</v>
      </c>
      <c r="O643">
        <v>1</v>
      </c>
      <c r="P643">
        <v>0</v>
      </c>
      <c r="Q643">
        <v>0</v>
      </c>
      <c r="R643">
        <v>0</v>
      </c>
      <c r="S643">
        <v>0</v>
      </c>
      <c r="T643">
        <v>0</v>
      </c>
      <c r="U643">
        <v>0</v>
      </c>
      <c r="V643">
        <v>0</v>
      </c>
      <c r="W643" s="8">
        <v>0</v>
      </c>
      <c r="X643">
        <v>0</v>
      </c>
      <c r="Y643">
        <v>0</v>
      </c>
      <c r="Z643" s="8"/>
      <c r="AA643" s="8" t="s">
        <v>521</v>
      </c>
      <c r="AB643" t="s">
        <v>21</v>
      </c>
    </row>
    <row r="644" spans="1:30">
      <c r="A644" s="8">
        <v>2018</v>
      </c>
      <c r="B644" s="8">
        <v>191</v>
      </c>
      <c r="D644" s="8" t="s">
        <v>18</v>
      </c>
      <c r="F644" t="s">
        <v>19</v>
      </c>
      <c r="G644" s="8" t="s">
        <v>192</v>
      </c>
      <c r="H644" t="s">
        <v>195</v>
      </c>
      <c r="I644" s="8" t="s">
        <v>22</v>
      </c>
      <c r="J644" t="s">
        <v>24</v>
      </c>
      <c r="K644" s="8" t="s">
        <v>25</v>
      </c>
      <c r="L644" t="s">
        <v>22</v>
      </c>
      <c r="O644">
        <v>1</v>
      </c>
      <c r="P644">
        <v>0</v>
      </c>
      <c r="Q644">
        <v>0</v>
      </c>
      <c r="R644">
        <v>0</v>
      </c>
      <c r="S644">
        <v>0</v>
      </c>
      <c r="T644">
        <v>0</v>
      </c>
      <c r="U644">
        <v>0</v>
      </c>
      <c r="V644">
        <v>0</v>
      </c>
      <c r="W644" s="8">
        <v>0</v>
      </c>
      <c r="X644">
        <v>0</v>
      </c>
      <c r="Y644">
        <v>0</v>
      </c>
      <c r="Z644" s="8"/>
      <c r="AA644" s="8" t="s">
        <v>521</v>
      </c>
      <c r="AB644" t="s">
        <v>21</v>
      </c>
    </row>
    <row r="645" spans="1:30">
      <c r="A645" s="8">
        <v>2018</v>
      </c>
      <c r="B645" s="8">
        <v>191</v>
      </c>
      <c r="D645" s="8" t="s">
        <v>18</v>
      </c>
      <c r="F645" t="s">
        <v>19</v>
      </c>
      <c r="G645" s="8" t="s">
        <v>60</v>
      </c>
      <c r="H645" t="s">
        <v>61</v>
      </c>
      <c r="I645" s="8" t="s">
        <v>22</v>
      </c>
      <c r="J645" t="s">
        <v>24</v>
      </c>
      <c r="K645" s="8" t="s">
        <v>25</v>
      </c>
      <c r="L645" t="s">
        <v>22</v>
      </c>
      <c r="O645">
        <v>1</v>
      </c>
      <c r="P645">
        <v>0</v>
      </c>
      <c r="Q645">
        <v>0</v>
      </c>
      <c r="R645">
        <v>0</v>
      </c>
      <c r="S645">
        <v>0</v>
      </c>
      <c r="T645">
        <v>0</v>
      </c>
      <c r="U645">
        <v>0</v>
      </c>
      <c r="V645">
        <v>0</v>
      </c>
      <c r="W645" s="8">
        <v>0</v>
      </c>
      <c r="X645">
        <v>0</v>
      </c>
      <c r="Y645">
        <v>0</v>
      </c>
      <c r="Z645" s="8"/>
      <c r="AA645" s="8" t="s">
        <v>521</v>
      </c>
      <c r="AB645" t="s">
        <v>21</v>
      </c>
    </row>
    <row r="646" spans="1:30">
      <c r="A646" s="8">
        <v>2018</v>
      </c>
      <c r="B646" s="8">
        <v>191</v>
      </c>
      <c r="D646" s="8" t="s">
        <v>18</v>
      </c>
      <c r="F646" t="s">
        <v>19</v>
      </c>
      <c r="G646" s="8" t="s">
        <v>210</v>
      </c>
      <c r="I646" s="8" t="s">
        <v>22</v>
      </c>
      <c r="J646" t="s">
        <v>24</v>
      </c>
      <c r="K646" s="8" t="s">
        <v>25</v>
      </c>
      <c r="L646" t="s">
        <v>22</v>
      </c>
      <c r="O646">
        <v>1</v>
      </c>
      <c r="P646">
        <v>0</v>
      </c>
      <c r="Q646">
        <v>0</v>
      </c>
      <c r="R646">
        <v>0</v>
      </c>
      <c r="S646">
        <v>0</v>
      </c>
      <c r="T646">
        <v>0</v>
      </c>
      <c r="U646">
        <v>0</v>
      </c>
      <c r="V646">
        <v>0</v>
      </c>
      <c r="W646" s="8">
        <v>0</v>
      </c>
      <c r="X646">
        <v>0</v>
      </c>
      <c r="Y646">
        <v>0</v>
      </c>
      <c r="Z646" s="8"/>
      <c r="AA646" s="8" t="s">
        <v>521</v>
      </c>
      <c r="AB646" t="s">
        <v>21</v>
      </c>
    </row>
    <row r="647" spans="1:30">
      <c r="A647" s="8">
        <v>2018</v>
      </c>
      <c r="B647" s="8">
        <v>192</v>
      </c>
      <c r="D647" s="8" t="s">
        <v>18</v>
      </c>
      <c r="F647" t="s">
        <v>19</v>
      </c>
      <c r="G647" s="8" t="s">
        <v>35</v>
      </c>
      <c r="I647" s="8" t="s">
        <v>22</v>
      </c>
      <c r="J647" t="s">
        <v>24</v>
      </c>
      <c r="K647" s="8" t="s">
        <v>25</v>
      </c>
      <c r="L647" t="s">
        <v>35</v>
      </c>
      <c r="O647">
        <v>1</v>
      </c>
      <c r="P647">
        <v>0</v>
      </c>
      <c r="Q647">
        <v>1</v>
      </c>
      <c r="R647">
        <v>0</v>
      </c>
      <c r="S647">
        <v>0</v>
      </c>
      <c r="T647">
        <v>0</v>
      </c>
      <c r="U647">
        <v>0</v>
      </c>
      <c r="V647">
        <v>0</v>
      </c>
      <c r="W647" s="8">
        <v>0</v>
      </c>
      <c r="X647">
        <v>0</v>
      </c>
      <c r="Y647">
        <v>0</v>
      </c>
      <c r="Z647" s="8"/>
      <c r="AA647" s="8" t="s">
        <v>523</v>
      </c>
      <c r="AB647" t="s">
        <v>21</v>
      </c>
    </row>
    <row r="648" spans="1:30">
      <c r="A648" s="8">
        <v>2018</v>
      </c>
      <c r="B648" s="8">
        <v>192</v>
      </c>
      <c r="D648" s="8" t="s">
        <v>18</v>
      </c>
      <c r="F648" t="s">
        <v>19</v>
      </c>
      <c r="G648" s="8" t="s">
        <v>152</v>
      </c>
      <c r="H648" t="s">
        <v>184</v>
      </c>
      <c r="I648" s="8" t="s">
        <v>22</v>
      </c>
      <c r="J648" t="s">
        <v>24</v>
      </c>
      <c r="K648" s="8" t="s">
        <v>25</v>
      </c>
      <c r="L648" t="s">
        <v>35</v>
      </c>
      <c r="O648">
        <v>1</v>
      </c>
      <c r="P648">
        <v>0</v>
      </c>
      <c r="Q648">
        <v>0</v>
      </c>
      <c r="R648">
        <v>0</v>
      </c>
      <c r="S648">
        <v>0</v>
      </c>
      <c r="T648">
        <v>0</v>
      </c>
      <c r="U648">
        <v>0</v>
      </c>
      <c r="V648">
        <v>0</v>
      </c>
      <c r="W648" s="8">
        <v>0</v>
      </c>
      <c r="X648">
        <v>0</v>
      </c>
      <c r="Y648">
        <v>0</v>
      </c>
      <c r="Z648" s="8"/>
      <c r="AA648" s="8" t="s">
        <v>523</v>
      </c>
      <c r="AB648" t="s">
        <v>21</v>
      </c>
    </row>
    <row r="649" spans="1:30">
      <c r="A649" s="8">
        <v>2018</v>
      </c>
      <c r="B649" s="8">
        <v>192</v>
      </c>
      <c r="D649" s="8" t="s">
        <v>18</v>
      </c>
      <c r="F649" t="s">
        <v>19</v>
      </c>
      <c r="G649" s="8" t="s">
        <v>22</v>
      </c>
      <c r="H649" t="s">
        <v>24</v>
      </c>
      <c r="I649" s="8" t="s">
        <v>22</v>
      </c>
      <c r="J649" t="s">
        <v>24</v>
      </c>
      <c r="K649" s="8" t="s">
        <v>25</v>
      </c>
      <c r="L649" t="s">
        <v>35</v>
      </c>
      <c r="O649">
        <v>1</v>
      </c>
      <c r="P649">
        <v>1</v>
      </c>
      <c r="Q649">
        <v>1</v>
      </c>
      <c r="R649">
        <v>0</v>
      </c>
      <c r="S649">
        <v>0</v>
      </c>
      <c r="T649">
        <v>0</v>
      </c>
      <c r="U649">
        <v>0</v>
      </c>
      <c r="V649">
        <v>0</v>
      </c>
      <c r="W649" s="8">
        <v>0</v>
      </c>
      <c r="X649">
        <v>0</v>
      </c>
      <c r="Y649">
        <v>0</v>
      </c>
      <c r="Z649" s="8"/>
      <c r="AA649" s="8" t="s">
        <v>523</v>
      </c>
      <c r="AB649" t="s">
        <v>21</v>
      </c>
    </row>
    <row r="650" spans="1:30">
      <c r="A650" s="8">
        <v>2018</v>
      </c>
      <c r="B650" s="8">
        <v>192</v>
      </c>
      <c r="D650" s="8" t="s">
        <v>18</v>
      </c>
      <c r="F650" t="s">
        <v>19</v>
      </c>
      <c r="G650" s="8" t="s">
        <v>191</v>
      </c>
      <c r="H650" t="s">
        <v>194</v>
      </c>
      <c r="I650" s="8" t="s">
        <v>22</v>
      </c>
      <c r="J650" t="s">
        <v>24</v>
      </c>
      <c r="K650" s="8" t="s">
        <v>25</v>
      </c>
      <c r="L650" t="s">
        <v>35</v>
      </c>
      <c r="O650">
        <v>1</v>
      </c>
      <c r="P650">
        <v>0</v>
      </c>
      <c r="Q650">
        <v>0</v>
      </c>
      <c r="R650">
        <v>0</v>
      </c>
      <c r="S650">
        <v>0</v>
      </c>
      <c r="T650">
        <v>0</v>
      </c>
      <c r="U650">
        <v>0</v>
      </c>
      <c r="V650">
        <v>0</v>
      </c>
      <c r="W650" s="8">
        <v>0</v>
      </c>
      <c r="X650">
        <v>0</v>
      </c>
      <c r="Y650">
        <v>0</v>
      </c>
      <c r="Z650" s="8"/>
      <c r="AA650" s="8" t="s">
        <v>523</v>
      </c>
      <c r="AB650" t="s">
        <v>21</v>
      </c>
    </row>
    <row r="651" spans="1:30">
      <c r="A651" s="8">
        <v>2018</v>
      </c>
      <c r="B651" s="8">
        <v>192</v>
      </c>
      <c r="D651" s="8" t="s">
        <v>18</v>
      </c>
      <c r="F651" t="s">
        <v>19</v>
      </c>
      <c r="G651" s="8" t="s">
        <v>192</v>
      </c>
      <c r="H651" t="s">
        <v>195</v>
      </c>
      <c r="I651" s="8" t="s">
        <v>22</v>
      </c>
      <c r="J651" t="s">
        <v>24</v>
      </c>
      <c r="K651" s="8" t="s">
        <v>25</v>
      </c>
      <c r="L651" t="s">
        <v>35</v>
      </c>
      <c r="O651">
        <v>1</v>
      </c>
      <c r="P651">
        <v>1</v>
      </c>
      <c r="Q651">
        <v>0</v>
      </c>
      <c r="R651">
        <v>0</v>
      </c>
      <c r="S651">
        <v>0</v>
      </c>
      <c r="T651">
        <v>0</v>
      </c>
      <c r="U651">
        <v>0</v>
      </c>
      <c r="V651">
        <v>0</v>
      </c>
      <c r="W651" s="8">
        <v>0</v>
      </c>
      <c r="X651">
        <v>0</v>
      </c>
      <c r="Y651">
        <v>0</v>
      </c>
      <c r="Z651" s="8"/>
      <c r="AA651" s="8" t="s">
        <v>523</v>
      </c>
      <c r="AB651" t="s">
        <v>21</v>
      </c>
    </row>
    <row r="652" spans="1:30">
      <c r="A652" s="8">
        <v>2018</v>
      </c>
      <c r="B652" s="8">
        <v>192</v>
      </c>
      <c r="D652" s="8" t="s">
        <v>18</v>
      </c>
      <c r="F652" t="s">
        <v>19</v>
      </c>
      <c r="G652" s="8" t="s">
        <v>60</v>
      </c>
      <c r="H652" t="s">
        <v>61</v>
      </c>
      <c r="I652" s="8" t="s">
        <v>22</v>
      </c>
      <c r="J652" t="s">
        <v>24</v>
      </c>
      <c r="K652" s="8" t="s">
        <v>25</v>
      </c>
      <c r="L652" t="s">
        <v>35</v>
      </c>
      <c r="O652">
        <v>1</v>
      </c>
      <c r="P652">
        <v>0</v>
      </c>
      <c r="Q652">
        <v>0</v>
      </c>
      <c r="R652">
        <v>0</v>
      </c>
      <c r="S652">
        <v>0</v>
      </c>
      <c r="T652">
        <v>0</v>
      </c>
      <c r="U652">
        <v>0</v>
      </c>
      <c r="V652">
        <v>0</v>
      </c>
      <c r="W652" s="8">
        <v>0</v>
      </c>
      <c r="X652">
        <v>0</v>
      </c>
      <c r="Y652">
        <v>0</v>
      </c>
      <c r="Z652" s="8"/>
      <c r="AA652" s="8" t="s">
        <v>523</v>
      </c>
      <c r="AB652" t="s">
        <v>21</v>
      </c>
    </row>
    <row r="653" spans="1:30">
      <c r="A653" s="8">
        <v>2018</v>
      </c>
      <c r="B653" s="8">
        <v>193</v>
      </c>
      <c r="D653" s="8" t="s">
        <v>18</v>
      </c>
      <c r="F653" t="s">
        <v>19</v>
      </c>
      <c r="G653" s="8" t="s">
        <v>35</v>
      </c>
      <c r="I653" s="8" t="s">
        <v>60</v>
      </c>
      <c r="J653" t="s">
        <v>61</v>
      </c>
      <c r="K653" s="8" t="s">
        <v>25</v>
      </c>
      <c r="L653" t="s">
        <v>35</v>
      </c>
      <c r="O653">
        <v>0</v>
      </c>
      <c r="P653">
        <v>1</v>
      </c>
      <c r="Q653">
        <v>1</v>
      </c>
      <c r="R653">
        <v>0</v>
      </c>
      <c r="S653">
        <v>0</v>
      </c>
      <c r="T653">
        <v>0</v>
      </c>
      <c r="U653">
        <v>1</v>
      </c>
      <c r="V653">
        <v>0</v>
      </c>
      <c r="W653" s="8">
        <v>1</v>
      </c>
      <c r="X653" s="8">
        <v>1</v>
      </c>
      <c r="Y653">
        <v>0</v>
      </c>
      <c r="Z653" s="8" t="s">
        <v>238</v>
      </c>
      <c r="AA653" s="8" t="s">
        <v>524</v>
      </c>
      <c r="AB653" t="s">
        <v>21</v>
      </c>
      <c r="AD653" t="s">
        <v>526</v>
      </c>
    </row>
    <row r="654" spans="1:30">
      <c r="A654" s="8">
        <v>2018</v>
      </c>
      <c r="B654" s="8">
        <v>193</v>
      </c>
      <c r="D654" s="8" t="s">
        <v>18</v>
      </c>
      <c r="F654" t="s">
        <v>19</v>
      </c>
      <c r="G654" s="8" t="s">
        <v>152</v>
      </c>
      <c r="H654" t="s">
        <v>184</v>
      </c>
      <c r="I654" s="8" t="s">
        <v>60</v>
      </c>
      <c r="J654" t="s">
        <v>61</v>
      </c>
      <c r="K654" s="8" t="s">
        <v>25</v>
      </c>
      <c r="L654" t="s">
        <v>35</v>
      </c>
      <c r="O654">
        <v>0</v>
      </c>
      <c r="P654">
        <v>1</v>
      </c>
      <c r="Q654">
        <v>0</v>
      </c>
      <c r="R654">
        <v>0</v>
      </c>
      <c r="S654">
        <v>0</v>
      </c>
      <c r="T654">
        <v>0</v>
      </c>
      <c r="U654">
        <v>0</v>
      </c>
      <c r="V654">
        <v>0</v>
      </c>
      <c r="W654" s="8">
        <v>1</v>
      </c>
      <c r="X654" s="8">
        <v>1</v>
      </c>
      <c r="Y654">
        <v>0</v>
      </c>
      <c r="Z654" s="8" t="s">
        <v>238</v>
      </c>
      <c r="AA654" s="8" t="s">
        <v>524</v>
      </c>
      <c r="AB654" t="s">
        <v>21</v>
      </c>
      <c r="AD654" t="s">
        <v>526</v>
      </c>
    </row>
    <row r="655" spans="1:30">
      <c r="A655" s="8">
        <v>2018</v>
      </c>
      <c r="B655" s="8">
        <v>193</v>
      </c>
      <c r="D655" s="8" t="s">
        <v>18</v>
      </c>
      <c r="F655" t="s">
        <v>19</v>
      </c>
      <c r="G655" s="8" t="s">
        <v>22</v>
      </c>
      <c r="H655" t="s">
        <v>24</v>
      </c>
      <c r="I655" s="8" t="s">
        <v>60</v>
      </c>
      <c r="J655" t="s">
        <v>61</v>
      </c>
      <c r="K655" s="8" t="s">
        <v>25</v>
      </c>
      <c r="L655" t="s">
        <v>35</v>
      </c>
      <c r="O655">
        <v>0</v>
      </c>
      <c r="P655">
        <v>1</v>
      </c>
      <c r="Q655">
        <v>0</v>
      </c>
      <c r="R655">
        <v>0</v>
      </c>
      <c r="S655">
        <v>0</v>
      </c>
      <c r="T655">
        <v>0</v>
      </c>
      <c r="U655">
        <v>0</v>
      </c>
      <c r="V655">
        <v>0</v>
      </c>
      <c r="W655" s="8">
        <v>1</v>
      </c>
      <c r="X655" s="8">
        <v>1</v>
      </c>
      <c r="Y655">
        <v>0</v>
      </c>
      <c r="Z655" s="8" t="s">
        <v>238</v>
      </c>
      <c r="AA655" s="8" t="s">
        <v>524</v>
      </c>
      <c r="AB655" t="s">
        <v>21</v>
      </c>
      <c r="AD655" t="s">
        <v>526</v>
      </c>
    </row>
    <row r="656" spans="1:30">
      <c r="A656" s="8">
        <v>2018</v>
      </c>
      <c r="B656" s="8">
        <v>193</v>
      </c>
      <c r="D656" s="8" t="s">
        <v>18</v>
      </c>
      <c r="F656" t="s">
        <v>19</v>
      </c>
      <c r="G656" s="8" t="s">
        <v>191</v>
      </c>
      <c r="H656" t="s">
        <v>194</v>
      </c>
      <c r="I656" s="8" t="s">
        <v>60</v>
      </c>
      <c r="J656" t="s">
        <v>61</v>
      </c>
      <c r="K656" s="8" t="s">
        <v>25</v>
      </c>
      <c r="L656" t="s">
        <v>35</v>
      </c>
      <c r="O656">
        <v>0</v>
      </c>
      <c r="P656">
        <v>1</v>
      </c>
      <c r="Q656">
        <v>0</v>
      </c>
      <c r="R656">
        <v>0</v>
      </c>
      <c r="S656">
        <v>0</v>
      </c>
      <c r="T656">
        <v>0</v>
      </c>
      <c r="U656">
        <v>0</v>
      </c>
      <c r="V656">
        <v>0</v>
      </c>
      <c r="W656" s="8">
        <v>1</v>
      </c>
      <c r="X656" s="8">
        <v>1</v>
      </c>
      <c r="Y656">
        <v>0</v>
      </c>
      <c r="Z656" s="8" t="s">
        <v>238</v>
      </c>
      <c r="AA656" s="8" t="s">
        <v>524</v>
      </c>
      <c r="AB656" t="s">
        <v>21</v>
      </c>
      <c r="AD656" t="s">
        <v>526</v>
      </c>
    </row>
    <row r="657" spans="1:30">
      <c r="A657" s="8">
        <v>2018</v>
      </c>
      <c r="B657" s="8">
        <v>193</v>
      </c>
      <c r="D657" s="8" t="s">
        <v>18</v>
      </c>
      <c r="F657" t="s">
        <v>19</v>
      </c>
      <c r="G657" s="8" t="s">
        <v>192</v>
      </c>
      <c r="H657" t="s">
        <v>195</v>
      </c>
      <c r="I657" s="8" t="s">
        <v>60</v>
      </c>
      <c r="J657" t="s">
        <v>61</v>
      </c>
      <c r="K657" s="8" t="s">
        <v>25</v>
      </c>
      <c r="L657" t="s">
        <v>35</v>
      </c>
      <c r="O657">
        <v>0</v>
      </c>
      <c r="P657">
        <v>1</v>
      </c>
      <c r="Q657">
        <v>0</v>
      </c>
      <c r="R657">
        <v>0</v>
      </c>
      <c r="S657">
        <v>0</v>
      </c>
      <c r="T657">
        <v>0</v>
      </c>
      <c r="U657">
        <v>0</v>
      </c>
      <c r="V657">
        <v>0</v>
      </c>
      <c r="W657" s="8">
        <v>1</v>
      </c>
      <c r="X657" s="8">
        <v>1</v>
      </c>
      <c r="Y657">
        <v>0</v>
      </c>
      <c r="Z657" s="8" t="s">
        <v>238</v>
      </c>
      <c r="AA657" s="8" t="s">
        <v>524</v>
      </c>
      <c r="AB657" t="s">
        <v>21</v>
      </c>
      <c r="AD657" t="s">
        <v>526</v>
      </c>
    </row>
    <row r="658" spans="1:30">
      <c r="A658" s="8">
        <v>2018</v>
      </c>
      <c r="B658" s="8">
        <v>193</v>
      </c>
      <c r="D658" s="8" t="s">
        <v>18</v>
      </c>
      <c r="F658" t="s">
        <v>19</v>
      </c>
      <c r="G658" s="8" t="s">
        <v>60</v>
      </c>
      <c r="H658" t="s">
        <v>61</v>
      </c>
      <c r="I658" s="8" t="s">
        <v>60</v>
      </c>
      <c r="J658" t="s">
        <v>61</v>
      </c>
      <c r="K658" s="8" t="s">
        <v>25</v>
      </c>
      <c r="L658" t="s">
        <v>35</v>
      </c>
      <c r="O658">
        <v>0</v>
      </c>
      <c r="P658">
        <v>1</v>
      </c>
      <c r="Q658">
        <v>1</v>
      </c>
      <c r="R658">
        <v>0</v>
      </c>
      <c r="S658">
        <v>0</v>
      </c>
      <c r="T658">
        <v>0</v>
      </c>
      <c r="U658">
        <v>1</v>
      </c>
      <c r="V658">
        <v>0</v>
      </c>
      <c r="W658" s="8">
        <v>1</v>
      </c>
      <c r="X658" s="8">
        <v>1</v>
      </c>
      <c r="Y658">
        <v>0</v>
      </c>
      <c r="Z658" s="8" t="s">
        <v>238</v>
      </c>
      <c r="AA658" s="8" t="s">
        <v>524</v>
      </c>
      <c r="AB658" t="s">
        <v>21</v>
      </c>
      <c r="AD658" t="s">
        <v>526</v>
      </c>
    </row>
    <row r="659" spans="1:30">
      <c r="A659" s="8">
        <v>2018</v>
      </c>
      <c r="B659" s="8">
        <v>193</v>
      </c>
      <c r="D659" s="8" t="s">
        <v>18</v>
      </c>
      <c r="F659" t="s">
        <v>19</v>
      </c>
      <c r="G659" s="8" t="s">
        <v>202</v>
      </c>
      <c r="H659" t="s">
        <v>205</v>
      </c>
      <c r="I659" s="8" t="s">
        <v>60</v>
      </c>
      <c r="J659" t="s">
        <v>61</v>
      </c>
      <c r="K659" s="8" t="s">
        <v>25</v>
      </c>
      <c r="L659" t="s">
        <v>35</v>
      </c>
      <c r="O659">
        <v>0</v>
      </c>
      <c r="P659">
        <v>0</v>
      </c>
      <c r="Q659">
        <v>0</v>
      </c>
      <c r="R659">
        <v>0</v>
      </c>
      <c r="S659">
        <v>0</v>
      </c>
      <c r="T659">
        <v>0</v>
      </c>
      <c r="U659">
        <v>1</v>
      </c>
      <c r="V659">
        <v>0</v>
      </c>
      <c r="W659" s="8">
        <v>1</v>
      </c>
      <c r="X659" s="8">
        <v>1</v>
      </c>
      <c r="Y659">
        <v>0</v>
      </c>
      <c r="Z659" s="8" t="s">
        <v>238</v>
      </c>
      <c r="AA659" s="8" t="s">
        <v>524</v>
      </c>
      <c r="AB659" t="s">
        <v>21</v>
      </c>
      <c r="AD659" t="s">
        <v>526</v>
      </c>
    </row>
    <row r="660" spans="1:30">
      <c r="A660" s="8">
        <v>2018</v>
      </c>
      <c r="B660" s="8">
        <v>193</v>
      </c>
      <c r="D660" s="8" t="s">
        <v>18</v>
      </c>
      <c r="F660" t="s">
        <v>19</v>
      </c>
      <c r="G660" s="8" t="s">
        <v>193</v>
      </c>
      <c r="H660" t="s">
        <v>185</v>
      </c>
      <c r="I660" s="8" t="s">
        <v>60</v>
      </c>
      <c r="J660" t="s">
        <v>61</v>
      </c>
      <c r="K660" s="8" t="s">
        <v>25</v>
      </c>
      <c r="L660" t="s">
        <v>35</v>
      </c>
      <c r="O660">
        <v>0</v>
      </c>
      <c r="P660">
        <v>0</v>
      </c>
      <c r="Q660">
        <v>0</v>
      </c>
      <c r="R660">
        <v>0</v>
      </c>
      <c r="S660">
        <v>0</v>
      </c>
      <c r="T660">
        <v>0</v>
      </c>
      <c r="U660">
        <v>1</v>
      </c>
      <c r="V660">
        <v>0</v>
      </c>
      <c r="W660" s="8">
        <v>1</v>
      </c>
      <c r="X660" s="8">
        <v>1</v>
      </c>
      <c r="Y660">
        <v>0</v>
      </c>
      <c r="Z660" s="8" t="s">
        <v>238</v>
      </c>
      <c r="AA660" s="8" t="s">
        <v>524</v>
      </c>
      <c r="AB660" t="s">
        <v>21</v>
      </c>
      <c r="AD660" t="s">
        <v>526</v>
      </c>
    </row>
    <row r="661" spans="1:30">
      <c r="A661" s="8">
        <v>2018</v>
      </c>
      <c r="B661" s="8">
        <v>193</v>
      </c>
      <c r="D661" s="8" t="s">
        <v>18</v>
      </c>
      <c r="F661" t="s">
        <v>19</v>
      </c>
      <c r="G661" s="8" t="s">
        <v>203</v>
      </c>
      <c r="H661" t="s">
        <v>206</v>
      </c>
      <c r="I661" s="8" t="s">
        <v>60</v>
      </c>
      <c r="J661" t="s">
        <v>61</v>
      </c>
      <c r="K661" s="8" t="s">
        <v>25</v>
      </c>
      <c r="L661" t="s">
        <v>35</v>
      </c>
      <c r="O661">
        <v>0</v>
      </c>
      <c r="P661">
        <v>0</v>
      </c>
      <c r="Q661">
        <v>0</v>
      </c>
      <c r="R661">
        <v>0</v>
      </c>
      <c r="S661">
        <v>0</v>
      </c>
      <c r="T661">
        <v>0</v>
      </c>
      <c r="U661">
        <v>1</v>
      </c>
      <c r="V661">
        <v>0</v>
      </c>
      <c r="W661" s="8">
        <v>1</v>
      </c>
      <c r="X661" s="8">
        <v>1</v>
      </c>
      <c r="Y661">
        <v>0</v>
      </c>
      <c r="Z661" s="8" t="s">
        <v>238</v>
      </c>
      <c r="AA661" s="8" t="s">
        <v>524</v>
      </c>
      <c r="AB661" t="s">
        <v>21</v>
      </c>
      <c r="AD661" t="s">
        <v>526</v>
      </c>
    </row>
    <row r="662" spans="1:30">
      <c r="A662" s="8">
        <v>2018</v>
      </c>
      <c r="B662" s="8">
        <v>194</v>
      </c>
      <c r="D662" s="8" t="s">
        <v>18</v>
      </c>
      <c r="F662" t="s">
        <v>19</v>
      </c>
      <c r="G662" s="8" t="s">
        <v>60</v>
      </c>
      <c r="H662" t="s">
        <v>61</v>
      </c>
      <c r="I662" s="8" t="s">
        <v>60</v>
      </c>
      <c r="J662" t="s">
        <v>61</v>
      </c>
      <c r="K662" s="8" t="s">
        <v>65</v>
      </c>
      <c r="L662" t="s">
        <v>60</v>
      </c>
      <c r="M662" s="8" t="s">
        <v>192</v>
      </c>
      <c r="O662">
        <v>0</v>
      </c>
      <c r="P662">
        <v>1</v>
      </c>
      <c r="Q662">
        <v>1</v>
      </c>
      <c r="R662">
        <v>0</v>
      </c>
      <c r="S662">
        <v>0</v>
      </c>
      <c r="T662">
        <v>0</v>
      </c>
      <c r="U662">
        <v>1</v>
      </c>
      <c r="V662">
        <v>0</v>
      </c>
      <c r="W662" s="8">
        <v>1</v>
      </c>
      <c r="X662" s="8">
        <v>1</v>
      </c>
      <c r="Y662" s="8">
        <v>0</v>
      </c>
      <c r="Z662" s="8" t="s">
        <v>239</v>
      </c>
      <c r="AA662" s="8" t="s">
        <v>525</v>
      </c>
      <c r="AB662" t="s">
        <v>21</v>
      </c>
    </row>
    <row r="663" spans="1:30">
      <c r="A663" s="8">
        <v>2018</v>
      </c>
      <c r="B663" s="8">
        <v>194</v>
      </c>
      <c r="D663" s="8" t="s">
        <v>18</v>
      </c>
      <c r="F663" t="s">
        <v>19</v>
      </c>
      <c r="G663" s="8" t="s">
        <v>192</v>
      </c>
      <c r="H663" t="s">
        <v>195</v>
      </c>
      <c r="I663" s="8" t="s">
        <v>60</v>
      </c>
      <c r="J663" t="s">
        <v>61</v>
      </c>
      <c r="K663" s="8" t="s">
        <v>65</v>
      </c>
      <c r="L663" t="s">
        <v>60</v>
      </c>
      <c r="M663" s="8" t="s">
        <v>192</v>
      </c>
      <c r="O663">
        <v>0</v>
      </c>
      <c r="P663">
        <v>1</v>
      </c>
      <c r="Q663">
        <v>0</v>
      </c>
      <c r="R663">
        <v>0</v>
      </c>
      <c r="S663">
        <v>0</v>
      </c>
      <c r="T663">
        <v>0</v>
      </c>
      <c r="U663">
        <v>0</v>
      </c>
      <c r="V663">
        <v>0</v>
      </c>
      <c r="W663" s="8">
        <v>1</v>
      </c>
      <c r="X663" s="8">
        <v>1</v>
      </c>
      <c r="Y663" s="8">
        <v>0</v>
      </c>
      <c r="Z663" s="8" t="s">
        <v>239</v>
      </c>
      <c r="AA663" s="8" t="s">
        <v>525</v>
      </c>
      <c r="AB663" t="s">
        <v>21</v>
      </c>
    </row>
    <row r="664" spans="1:30">
      <c r="A664" s="8">
        <v>2018</v>
      </c>
      <c r="B664" s="8">
        <v>194</v>
      </c>
      <c r="D664" s="8" t="s">
        <v>18</v>
      </c>
      <c r="F664" t="s">
        <v>19</v>
      </c>
      <c r="G664" s="8" t="s">
        <v>35</v>
      </c>
      <c r="I664" s="8" t="s">
        <v>60</v>
      </c>
      <c r="J664" t="s">
        <v>61</v>
      </c>
      <c r="K664" s="8" t="s">
        <v>65</v>
      </c>
      <c r="L664" t="s">
        <v>60</v>
      </c>
      <c r="M664" s="8" t="s">
        <v>192</v>
      </c>
      <c r="O664">
        <v>0</v>
      </c>
      <c r="P664">
        <v>0</v>
      </c>
      <c r="Q664">
        <v>0</v>
      </c>
      <c r="R664">
        <v>0</v>
      </c>
      <c r="S664">
        <v>0</v>
      </c>
      <c r="T664">
        <v>0</v>
      </c>
      <c r="U664">
        <v>1</v>
      </c>
      <c r="V664">
        <v>0</v>
      </c>
      <c r="W664" s="8">
        <v>1</v>
      </c>
      <c r="X664" s="8">
        <v>1</v>
      </c>
      <c r="Y664" s="8">
        <v>0</v>
      </c>
      <c r="Z664" s="8" t="s">
        <v>239</v>
      </c>
      <c r="AA664" s="8" t="s">
        <v>525</v>
      </c>
      <c r="AB664" t="s">
        <v>21</v>
      </c>
    </row>
    <row r="665" spans="1:30">
      <c r="A665" s="8">
        <v>2018</v>
      </c>
      <c r="B665" s="8">
        <v>195</v>
      </c>
      <c r="D665" s="8" t="s">
        <v>18</v>
      </c>
      <c r="F665" t="s">
        <v>19</v>
      </c>
      <c r="G665" s="8" t="s">
        <v>60</v>
      </c>
      <c r="H665" t="s">
        <v>61</v>
      </c>
      <c r="I665" s="8" t="s">
        <v>192</v>
      </c>
      <c r="J665" t="s">
        <v>195</v>
      </c>
      <c r="K665" s="8" t="s">
        <v>65</v>
      </c>
      <c r="L665" t="s">
        <v>60</v>
      </c>
      <c r="M665" s="8" t="s">
        <v>192</v>
      </c>
      <c r="O665">
        <v>0</v>
      </c>
      <c r="P665">
        <v>1</v>
      </c>
      <c r="Q665">
        <v>0</v>
      </c>
      <c r="R665">
        <v>0</v>
      </c>
      <c r="S665">
        <v>0</v>
      </c>
      <c r="T665">
        <v>0</v>
      </c>
      <c r="U665">
        <v>0</v>
      </c>
      <c r="V665">
        <v>0</v>
      </c>
      <c r="W665" s="8">
        <v>0</v>
      </c>
      <c r="X665">
        <v>0</v>
      </c>
      <c r="Y665">
        <v>0</v>
      </c>
      <c r="Z665" s="8"/>
      <c r="AA665" s="8" t="s">
        <v>527</v>
      </c>
      <c r="AB665" t="s">
        <v>21</v>
      </c>
    </row>
    <row r="666" spans="1:30">
      <c r="A666" s="8">
        <v>2018</v>
      </c>
      <c r="B666" s="8">
        <v>195</v>
      </c>
      <c r="D666" s="8" t="s">
        <v>18</v>
      </c>
      <c r="F666" t="s">
        <v>19</v>
      </c>
      <c r="G666" s="8" t="s">
        <v>192</v>
      </c>
      <c r="H666" t="s">
        <v>195</v>
      </c>
      <c r="I666" s="8" t="s">
        <v>192</v>
      </c>
      <c r="J666" t="s">
        <v>195</v>
      </c>
      <c r="K666" s="8" t="s">
        <v>65</v>
      </c>
      <c r="L666" t="s">
        <v>60</v>
      </c>
      <c r="M666" s="8" t="s">
        <v>192</v>
      </c>
      <c r="O666">
        <v>0</v>
      </c>
      <c r="P666">
        <v>1</v>
      </c>
      <c r="Q666">
        <v>1</v>
      </c>
      <c r="R666">
        <v>0</v>
      </c>
      <c r="S666">
        <v>0</v>
      </c>
      <c r="T666">
        <v>0</v>
      </c>
      <c r="U666">
        <v>0</v>
      </c>
      <c r="V666">
        <v>0</v>
      </c>
      <c r="W666" s="8">
        <v>0</v>
      </c>
      <c r="X666" s="8">
        <v>0</v>
      </c>
      <c r="Y666">
        <v>0</v>
      </c>
      <c r="Z666" s="8"/>
      <c r="AA666" s="8" t="s">
        <v>527</v>
      </c>
      <c r="AB666" t="s">
        <v>21</v>
      </c>
    </row>
    <row r="667" spans="1:30">
      <c r="A667" s="8">
        <v>2018</v>
      </c>
      <c r="B667" s="8">
        <v>196</v>
      </c>
      <c r="D667" s="8" t="s">
        <v>18</v>
      </c>
      <c r="F667" t="s">
        <v>19</v>
      </c>
      <c r="G667" s="8" t="s">
        <v>35</v>
      </c>
      <c r="I667" s="8"/>
      <c r="K667" s="8" t="s">
        <v>25</v>
      </c>
      <c r="L667" t="s">
        <v>35</v>
      </c>
      <c r="O667">
        <v>0</v>
      </c>
      <c r="P667">
        <v>0</v>
      </c>
      <c r="Q667">
        <v>1</v>
      </c>
      <c r="R667">
        <v>0</v>
      </c>
      <c r="S667">
        <v>0</v>
      </c>
      <c r="T667">
        <v>0</v>
      </c>
      <c r="U667">
        <v>0</v>
      </c>
      <c r="V667">
        <v>0</v>
      </c>
      <c r="W667" s="8">
        <v>1</v>
      </c>
      <c r="X667" s="8">
        <v>1</v>
      </c>
      <c r="Y667" s="8">
        <v>0</v>
      </c>
      <c r="Z667" s="8" t="s">
        <v>240</v>
      </c>
      <c r="AA667" s="8" t="s">
        <v>528</v>
      </c>
      <c r="AB667" t="s">
        <v>21</v>
      </c>
    </row>
    <row r="668" spans="1:30">
      <c r="A668" s="8">
        <v>2018</v>
      </c>
      <c r="B668" s="8">
        <v>196</v>
      </c>
      <c r="D668" s="8" t="s">
        <v>18</v>
      </c>
      <c r="F668" t="s">
        <v>19</v>
      </c>
      <c r="G668" s="8" t="s">
        <v>152</v>
      </c>
      <c r="H668" t="s">
        <v>184</v>
      </c>
      <c r="I668" s="8"/>
      <c r="K668" s="8" t="s">
        <v>25</v>
      </c>
      <c r="L668" t="s">
        <v>35</v>
      </c>
      <c r="O668">
        <v>0</v>
      </c>
      <c r="P668">
        <v>0</v>
      </c>
      <c r="Q668">
        <v>0</v>
      </c>
      <c r="R668">
        <v>0</v>
      </c>
      <c r="S668">
        <v>0</v>
      </c>
      <c r="T668">
        <v>0</v>
      </c>
      <c r="U668">
        <v>0</v>
      </c>
      <c r="V668">
        <v>0</v>
      </c>
      <c r="W668" s="8">
        <v>1</v>
      </c>
      <c r="X668" s="8">
        <v>1</v>
      </c>
      <c r="Y668" s="8">
        <v>0</v>
      </c>
      <c r="Z668" s="8" t="s">
        <v>240</v>
      </c>
      <c r="AA668" s="8" t="s">
        <v>528</v>
      </c>
      <c r="AB668" t="s">
        <v>21</v>
      </c>
    </row>
    <row r="669" spans="1:30">
      <c r="A669" s="8">
        <v>2018</v>
      </c>
      <c r="B669" s="8">
        <v>196</v>
      </c>
      <c r="D669" s="8" t="s">
        <v>18</v>
      </c>
      <c r="F669" t="s">
        <v>19</v>
      </c>
      <c r="G669" s="8" t="s">
        <v>22</v>
      </c>
      <c r="H669" t="s">
        <v>24</v>
      </c>
      <c r="I669" s="8"/>
      <c r="K669" s="8" t="s">
        <v>25</v>
      </c>
      <c r="L669" t="s">
        <v>35</v>
      </c>
      <c r="O669">
        <v>0</v>
      </c>
      <c r="P669">
        <v>0</v>
      </c>
      <c r="Q669">
        <v>0</v>
      </c>
      <c r="R669">
        <v>0</v>
      </c>
      <c r="S669">
        <v>0</v>
      </c>
      <c r="T669">
        <v>0</v>
      </c>
      <c r="U669">
        <v>0</v>
      </c>
      <c r="V669">
        <v>0</v>
      </c>
      <c r="W669" s="8">
        <v>1</v>
      </c>
      <c r="X669" s="8">
        <v>1</v>
      </c>
      <c r="Y669" s="8">
        <v>0</v>
      </c>
      <c r="Z669" s="8" t="s">
        <v>240</v>
      </c>
      <c r="AA669" s="8" t="s">
        <v>528</v>
      </c>
      <c r="AB669" t="s">
        <v>21</v>
      </c>
    </row>
    <row r="670" spans="1:30">
      <c r="A670" s="8">
        <v>2018</v>
      </c>
      <c r="B670" s="8">
        <v>196</v>
      </c>
      <c r="D670" s="8" t="s">
        <v>18</v>
      </c>
      <c r="F670" t="s">
        <v>19</v>
      </c>
      <c r="G670" s="8" t="s">
        <v>191</v>
      </c>
      <c r="H670" t="s">
        <v>194</v>
      </c>
      <c r="I670" s="8"/>
      <c r="K670" s="8" t="s">
        <v>25</v>
      </c>
      <c r="L670" t="s">
        <v>35</v>
      </c>
      <c r="O670">
        <v>0</v>
      </c>
      <c r="P670">
        <v>0</v>
      </c>
      <c r="Q670">
        <v>0</v>
      </c>
      <c r="R670">
        <v>0</v>
      </c>
      <c r="S670">
        <v>0</v>
      </c>
      <c r="T670">
        <v>0</v>
      </c>
      <c r="U670">
        <v>0</v>
      </c>
      <c r="V670">
        <v>0</v>
      </c>
      <c r="W670" s="8">
        <v>1</v>
      </c>
      <c r="X670" s="8">
        <v>1</v>
      </c>
      <c r="Y670" s="8">
        <v>0</v>
      </c>
      <c r="Z670" s="8" t="s">
        <v>240</v>
      </c>
      <c r="AA670" s="8" t="s">
        <v>528</v>
      </c>
      <c r="AB670" t="s">
        <v>21</v>
      </c>
    </row>
    <row r="671" spans="1:30">
      <c r="A671" s="8">
        <v>2018</v>
      </c>
      <c r="B671" s="8">
        <v>196</v>
      </c>
      <c r="D671" s="8" t="s">
        <v>18</v>
      </c>
      <c r="F671" t="s">
        <v>19</v>
      </c>
      <c r="G671" s="8" t="s">
        <v>192</v>
      </c>
      <c r="H671" t="s">
        <v>195</v>
      </c>
      <c r="I671" s="8"/>
      <c r="K671" s="8" t="s">
        <v>25</v>
      </c>
      <c r="L671" t="s">
        <v>35</v>
      </c>
      <c r="O671">
        <v>0</v>
      </c>
      <c r="P671">
        <v>0</v>
      </c>
      <c r="Q671">
        <v>0</v>
      </c>
      <c r="R671">
        <v>0</v>
      </c>
      <c r="S671">
        <v>0</v>
      </c>
      <c r="T671">
        <v>0</v>
      </c>
      <c r="U671">
        <v>0</v>
      </c>
      <c r="V671">
        <v>0</v>
      </c>
      <c r="W671" s="8">
        <v>1</v>
      </c>
      <c r="X671" s="8">
        <v>1</v>
      </c>
      <c r="Y671" s="8">
        <v>0</v>
      </c>
      <c r="Z671" s="8" t="s">
        <v>240</v>
      </c>
      <c r="AA671" s="8" t="s">
        <v>528</v>
      </c>
      <c r="AB671" t="s">
        <v>21</v>
      </c>
    </row>
    <row r="672" spans="1:30">
      <c r="A672" s="8">
        <v>2018</v>
      </c>
      <c r="B672" s="8">
        <v>196</v>
      </c>
      <c r="D672" s="8" t="s">
        <v>18</v>
      </c>
      <c r="F672" t="s">
        <v>19</v>
      </c>
      <c r="G672" s="8" t="s">
        <v>60</v>
      </c>
      <c r="H672" t="s">
        <v>61</v>
      </c>
      <c r="I672" s="8"/>
      <c r="K672" s="8" t="s">
        <v>25</v>
      </c>
      <c r="L672" t="s">
        <v>35</v>
      </c>
      <c r="O672">
        <v>0</v>
      </c>
      <c r="P672">
        <v>0</v>
      </c>
      <c r="Q672">
        <v>0</v>
      </c>
      <c r="R672">
        <v>0</v>
      </c>
      <c r="S672">
        <v>0</v>
      </c>
      <c r="T672">
        <v>0</v>
      </c>
      <c r="U672">
        <v>0</v>
      </c>
      <c r="V672">
        <v>0</v>
      </c>
      <c r="W672" s="8">
        <v>1</v>
      </c>
      <c r="X672" s="8">
        <v>1</v>
      </c>
      <c r="Y672" s="8">
        <v>0</v>
      </c>
      <c r="Z672" s="8" t="s">
        <v>240</v>
      </c>
      <c r="AA672" s="8" t="s">
        <v>528</v>
      </c>
      <c r="AB672" t="s">
        <v>21</v>
      </c>
    </row>
    <row r="673" spans="1:30">
      <c r="A673" s="8">
        <v>2018</v>
      </c>
      <c r="B673" s="8">
        <v>197</v>
      </c>
      <c r="D673" s="8" t="s">
        <v>18</v>
      </c>
      <c r="F673" t="s">
        <v>19</v>
      </c>
      <c r="G673" s="8" t="s">
        <v>35</v>
      </c>
      <c r="I673" s="8" t="s">
        <v>60</v>
      </c>
      <c r="J673" t="s">
        <v>61</v>
      </c>
      <c r="K673" s="8" t="s">
        <v>25</v>
      </c>
      <c r="L673" t="s">
        <v>35</v>
      </c>
      <c r="O673">
        <v>0</v>
      </c>
      <c r="P673">
        <v>1</v>
      </c>
      <c r="Q673">
        <v>1</v>
      </c>
      <c r="R673">
        <v>1</v>
      </c>
      <c r="S673">
        <v>0</v>
      </c>
      <c r="T673">
        <v>0</v>
      </c>
      <c r="U673">
        <v>0</v>
      </c>
      <c r="V673">
        <v>0</v>
      </c>
      <c r="W673" s="8">
        <v>0</v>
      </c>
      <c r="X673">
        <v>0</v>
      </c>
      <c r="Y673">
        <v>0</v>
      </c>
      <c r="Z673" s="8"/>
      <c r="AA673" s="8" t="s">
        <v>529</v>
      </c>
      <c r="AB673" t="s">
        <v>21</v>
      </c>
      <c r="AD673" t="s">
        <v>530</v>
      </c>
    </row>
    <row r="674" spans="1:30">
      <c r="A674" s="8">
        <v>2018</v>
      </c>
      <c r="B674" s="8">
        <v>197</v>
      </c>
      <c r="D674" s="8" t="s">
        <v>18</v>
      </c>
      <c r="F674" t="s">
        <v>19</v>
      </c>
      <c r="G674" s="8" t="s">
        <v>152</v>
      </c>
      <c r="H674" t="s">
        <v>184</v>
      </c>
      <c r="I674" s="8" t="s">
        <v>60</v>
      </c>
      <c r="J674" t="s">
        <v>61</v>
      </c>
      <c r="K674" s="8" t="s">
        <v>25</v>
      </c>
      <c r="L674" t="s">
        <v>35</v>
      </c>
      <c r="O674">
        <v>0</v>
      </c>
      <c r="P674">
        <v>1</v>
      </c>
      <c r="Q674">
        <v>0</v>
      </c>
      <c r="R674">
        <v>1</v>
      </c>
      <c r="S674">
        <v>0</v>
      </c>
      <c r="T674">
        <v>0</v>
      </c>
      <c r="U674">
        <v>0</v>
      </c>
      <c r="V674">
        <v>0</v>
      </c>
      <c r="W674" s="8">
        <v>0</v>
      </c>
      <c r="X674" s="8">
        <v>0</v>
      </c>
      <c r="Y674" s="8">
        <v>0</v>
      </c>
      <c r="Z674" s="8"/>
      <c r="AA674" s="8" t="s">
        <v>529</v>
      </c>
      <c r="AB674" t="s">
        <v>21</v>
      </c>
      <c r="AD674" t="s">
        <v>530</v>
      </c>
    </row>
    <row r="675" spans="1:30">
      <c r="A675" s="8">
        <v>2018</v>
      </c>
      <c r="B675" s="8">
        <v>197</v>
      </c>
      <c r="D675" s="8" t="s">
        <v>18</v>
      </c>
      <c r="F675" t="s">
        <v>19</v>
      </c>
      <c r="G675" s="8" t="s">
        <v>22</v>
      </c>
      <c r="H675" t="s">
        <v>24</v>
      </c>
      <c r="I675" s="8" t="s">
        <v>60</v>
      </c>
      <c r="J675" t="s">
        <v>61</v>
      </c>
      <c r="K675" s="8" t="s">
        <v>25</v>
      </c>
      <c r="L675" t="s">
        <v>35</v>
      </c>
      <c r="O675">
        <v>0</v>
      </c>
      <c r="P675">
        <v>1</v>
      </c>
      <c r="Q675">
        <v>0</v>
      </c>
      <c r="R675">
        <v>1</v>
      </c>
      <c r="S675">
        <v>0</v>
      </c>
      <c r="T675">
        <v>0</v>
      </c>
      <c r="U675">
        <v>0</v>
      </c>
      <c r="V675">
        <v>0</v>
      </c>
      <c r="W675" s="8">
        <v>0</v>
      </c>
      <c r="X675" s="8">
        <v>0</v>
      </c>
      <c r="Y675" s="8">
        <v>0</v>
      </c>
      <c r="Z675" s="8"/>
      <c r="AA675" s="8" t="s">
        <v>529</v>
      </c>
      <c r="AB675" t="s">
        <v>21</v>
      </c>
      <c r="AD675" t="s">
        <v>530</v>
      </c>
    </row>
    <row r="676" spans="1:30">
      <c r="A676" s="8">
        <v>2018</v>
      </c>
      <c r="B676" s="8">
        <v>197</v>
      </c>
      <c r="D676" s="8" t="s">
        <v>18</v>
      </c>
      <c r="F676" t="s">
        <v>19</v>
      </c>
      <c r="G676" s="8" t="s">
        <v>191</v>
      </c>
      <c r="H676" t="s">
        <v>194</v>
      </c>
      <c r="I676" s="8" t="s">
        <v>60</v>
      </c>
      <c r="J676" t="s">
        <v>61</v>
      </c>
      <c r="K676" s="8" t="s">
        <v>25</v>
      </c>
      <c r="L676" t="s">
        <v>35</v>
      </c>
      <c r="O676">
        <v>0</v>
      </c>
      <c r="P676">
        <v>1</v>
      </c>
      <c r="Q676">
        <v>0</v>
      </c>
      <c r="R676">
        <v>1</v>
      </c>
      <c r="S676">
        <v>0</v>
      </c>
      <c r="T676">
        <v>0</v>
      </c>
      <c r="U676">
        <v>0</v>
      </c>
      <c r="V676">
        <v>0</v>
      </c>
      <c r="W676" s="8">
        <v>0</v>
      </c>
      <c r="X676">
        <v>0</v>
      </c>
      <c r="Y676" s="8">
        <v>0</v>
      </c>
      <c r="Z676" s="8"/>
      <c r="AA676" s="8" t="s">
        <v>529</v>
      </c>
      <c r="AB676" t="s">
        <v>21</v>
      </c>
      <c r="AD676" t="s">
        <v>530</v>
      </c>
    </row>
    <row r="677" spans="1:30">
      <c r="A677" s="8">
        <v>2018</v>
      </c>
      <c r="B677" s="8">
        <v>197</v>
      </c>
      <c r="D677" s="8" t="s">
        <v>18</v>
      </c>
      <c r="F677" t="s">
        <v>19</v>
      </c>
      <c r="G677" s="8" t="s">
        <v>192</v>
      </c>
      <c r="H677" t="s">
        <v>195</v>
      </c>
      <c r="I677" s="8" t="s">
        <v>60</v>
      </c>
      <c r="J677" t="s">
        <v>61</v>
      </c>
      <c r="K677" s="8" t="s">
        <v>25</v>
      </c>
      <c r="L677" t="s">
        <v>35</v>
      </c>
      <c r="O677">
        <v>0</v>
      </c>
      <c r="P677">
        <v>1</v>
      </c>
      <c r="Q677">
        <v>0</v>
      </c>
      <c r="R677">
        <v>1</v>
      </c>
      <c r="S677">
        <v>0</v>
      </c>
      <c r="T677">
        <v>0</v>
      </c>
      <c r="U677">
        <v>0</v>
      </c>
      <c r="V677">
        <v>0</v>
      </c>
      <c r="W677" s="8">
        <v>0</v>
      </c>
      <c r="X677">
        <v>0</v>
      </c>
      <c r="Y677" s="8">
        <v>0</v>
      </c>
      <c r="Z677" s="8"/>
      <c r="AA677" s="8" t="s">
        <v>529</v>
      </c>
      <c r="AB677" t="s">
        <v>21</v>
      </c>
      <c r="AD677" t="s">
        <v>530</v>
      </c>
    </row>
    <row r="678" spans="1:30">
      <c r="A678" s="8">
        <v>2018</v>
      </c>
      <c r="B678" s="8">
        <v>197</v>
      </c>
      <c r="D678" s="8" t="s">
        <v>18</v>
      </c>
      <c r="F678" t="s">
        <v>19</v>
      </c>
      <c r="G678" s="8" t="s">
        <v>60</v>
      </c>
      <c r="H678" t="s">
        <v>61</v>
      </c>
      <c r="I678" s="8" t="s">
        <v>60</v>
      </c>
      <c r="J678" t="s">
        <v>61</v>
      </c>
      <c r="K678" s="8" t="s">
        <v>25</v>
      </c>
      <c r="L678" t="s">
        <v>35</v>
      </c>
      <c r="O678">
        <v>0</v>
      </c>
      <c r="P678">
        <v>1</v>
      </c>
      <c r="Q678">
        <v>1</v>
      </c>
      <c r="R678">
        <v>1</v>
      </c>
      <c r="S678">
        <v>0</v>
      </c>
      <c r="T678">
        <v>0</v>
      </c>
      <c r="U678">
        <v>0</v>
      </c>
      <c r="V678">
        <v>0</v>
      </c>
      <c r="W678" s="8">
        <v>0</v>
      </c>
      <c r="X678">
        <v>0</v>
      </c>
      <c r="Y678" s="8">
        <v>0</v>
      </c>
      <c r="Z678" s="8"/>
      <c r="AA678" s="8" t="s">
        <v>529</v>
      </c>
      <c r="AB678" t="s">
        <v>21</v>
      </c>
      <c r="AD678" t="s">
        <v>530</v>
      </c>
    </row>
    <row r="679" spans="1:30">
      <c r="A679" s="8">
        <v>2018</v>
      </c>
      <c r="B679" s="8">
        <v>198</v>
      </c>
      <c r="D679" s="8" t="s">
        <v>18</v>
      </c>
      <c r="F679" t="s">
        <v>19</v>
      </c>
      <c r="G679" s="8" t="s">
        <v>35</v>
      </c>
      <c r="I679" s="8" t="s">
        <v>60</v>
      </c>
      <c r="J679" t="s">
        <v>61</v>
      </c>
      <c r="K679" s="8" t="s">
        <v>25</v>
      </c>
      <c r="L679" t="s">
        <v>35</v>
      </c>
      <c r="O679">
        <v>0</v>
      </c>
      <c r="P679">
        <v>1</v>
      </c>
      <c r="Q679">
        <v>1</v>
      </c>
      <c r="R679">
        <v>1</v>
      </c>
      <c r="S679">
        <v>0</v>
      </c>
      <c r="T679">
        <v>0</v>
      </c>
      <c r="U679">
        <v>0</v>
      </c>
      <c r="V679">
        <v>0</v>
      </c>
      <c r="W679" s="8">
        <v>0</v>
      </c>
      <c r="X679">
        <v>0</v>
      </c>
      <c r="Y679">
        <v>0</v>
      </c>
      <c r="Z679" s="8"/>
      <c r="AA679" s="8" t="s">
        <v>531</v>
      </c>
      <c r="AB679" t="s">
        <v>21</v>
      </c>
    </row>
    <row r="680" spans="1:30">
      <c r="A680" s="8">
        <v>2018</v>
      </c>
      <c r="B680" s="8">
        <v>198</v>
      </c>
      <c r="D680" s="8" t="s">
        <v>18</v>
      </c>
      <c r="F680" t="s">
        <v>19</v>
      </c>
      <c r="G680" s="8" t="s">
        <v>152</v>
      </c>
      <c r="H680" t="s">
        <v>184</v>
      </c>
      <c r="I680" s="8" t="s">
        <v>60</v>
      </c>
      <c r="J680" t="s">
        <v>61</v>
      </c>
      <c r="K680" s="8" t="s">
        <v>25</v>
      </c>
      <c r="L680" t="s">
        <v>35</v>
      </c>
      <c r="O680">
        <v>0</v>
      </c>
      <c r="P680">
        <v>1</v>
      </c>
      <c r="Q680">
        <v>0</v>
      </c>
      <c r="R680">
        <v>1</v>
      </c>
      <c r="S680">
        <v>0</v>
      </c>
      <c r="T680">
        <v>0</v>
      </c>
      <c r="U680">
        <v>0</v>
      </c>
      <c r="V680">
        <v>0</v>
      </c>
      <c r="W680" s="8">
        <v>0</v>
      </c>
      <c r="X680">
        <v>0</v>
      </c>
      <c r="Y680" s="8">
        <v>0</v>
      </c>
      <c r="Z680" s="8"/>
      <c r="AA680" s="8" t="s">
        <v>531</v>
      </c>
      <c r="AB680" t="s">
        <v>21</v>
      </c>
    </row>
    <row r="681" spans="1:30">
      <c r="A681" s="8">
        <v>2018</v>
      </c>
      <c r="B681" s="8">
        <v>198</v>
      </c>
      <c r="D681" s="8" t="s">
        <v>18</v>
      </c>
      <c r="F681" t="s">
        <v>19</v>
      </c>
      <c r="G681" s="8" t="s">
        <v>22</v>
      </c>
      <c r="H681" t="s">
        <v>24</v>
      </c>
      <c r="I681" s="8" t="s">
        <v>60</v>
      </c>
      <c r="J681" t="s">
        <v>61</v>
      </c>
      <c r="K681" s="8" t="s">
        <v>25</v>
      </c>
      <c r="L681" t="s">
        <v>35</v>
      </c>
      <c r="O681">
        <v>0</v>
      </c>
      <c r="P681">
        <v>1</v>
      </c>
      <c r="Q681">
        <v>0</v>
      </c>
      <c r="R681">
        <v>1</v>
      </c>
      <c r="S681">
        <v>0</v>
      </c>
      <c r="T681">
        <v>0</v>
      </c>
      <c r="U681">
        <v>0</v>
      </c>
      <c r="V681">
        <v>0</v>
      </c>
      <c r="W681" s="8">
        <v>0</v>
      </c>
      <c r="X681">
        <v>0</v>
      </c>
      <c r="Y681" s="8">
        <v>0</v>
      </c>
      <c r="Z681" s="8"/>
      <c r="AA681" s="8" t="s">
        <v>531</v>
      </c>
      <c r="AB681" t="s">
        <v>21</v>
      </c>
    </row>
    <row r="682" spans="1:30">
      <c r="A682" s="8">
        <v>2018</v>
      </c>
      <c r="B682" s="8">
        <v>198</v>
      </c>
      <c r="D682" s="8" t="s">
        <v>18</v>
      </c>
      <c r="F682" t="s">
        <v>19</v>
      </c>
      <c r="G682" s="8" t="s">
        <v>191</v>
      </c>
      <c r="H682" t="s">
        <v>194</v>
      </c>
      <c r="I682" s="8" t="s">
        <v>60</v>
      </c>
      <c r="J682" t="s">
        <v>61</v>
      </c>
      <c r="K682" s="8" t="s">
        <v>25</v>
      </c>
      <c r="L682" t="s">
        <v>35</v>
      </c>
      <c r="O682">
        <v>0</v>
      </c>
      <c r="P682">
        <v>1</v>
      </c>
      <c r="Q682">
        <v>0</v>
      </c>
      <c r="R682">
        <v>1</v>
      </c>
      <c r="S682">
        <v>0</v>
      </c>
      <c r="T682">
        <v>0</v>
      </c>
      <c r="U682">
        <v>0</v>
      </c>
      <c r="V682">
        <v>0</v>
      </c>
      <c r="W682" s="8">
        <v>0</v>
      </c>
      <c r="X682">
        <v>0</v>
      </c>
      <c r="Y682" s="8">
        <v>0</v>
      </c>
      <c r="Z682" s="8"/>
      <c r="AA682" s="8" t="s">
        <v>531</v>
      </c>
      <c r="AB682" t="s">
        <v>21</v>
      </c>
    </row>
    <row r="683" spans="1:30">
      <c r="A683" s="8">
        <v>2018</v>
      </c>
      <c r="B683" s="8">
        <v>198</v>
      </c>
      <c r="D683" s="8" t="s">
        <v>18</v>
      </c>
      <c r="F683" t="s">
        <v>19</v>
      </c>
      <c r="G683" s="8" t="s">
        <v>192</v>
      </c>
      <c r="H683" t="s">
        <v>195</v>
      </c>
      <c r="I683" s="8" t="s">
        <v>60</v>
      </c>
      <c r="J683" t="s">
        <v>61</v>
      </c>
      <c r="K683" s="8" t="s">
        <v>25</v>
      </c>
      <c r="L683" t="s">
        <v>35</v>
      </c>
      <c r="O683">
        <v>0</v>
      </c>
      <c r="P683">
        <v>1</v>
      </c>
      <c r="Q683">
        <v>0</v>
      </c>
      <c r="R683">
        <v>1</v>
      </c>
      <c r="S683">
        <v>0</v>
      </c>
      <c r="T683">
        <v>0</v>
      </c>
      <c r="U683">
        <v>0</v>
      </c>
      <c r="V683">
        <v>0</v>
      </c>
      <c r="W683" s="8">
        <v>0</v>
      </c>
      <c r="X683">
        <v>0</v>
      </c>
      <c r="Y683" s="8">
        <v>0</v>
      </c>
      <c r="Z683" s="8"/>
      <c r="AA683" s="8" t="s">
        <v>531</v>
      </c>
      <c r="AB683" t="s">
        <v>21</v>
      </c>
    </row>
    <row r="684" spans="1:30">
      <c r="A684" s="8">
        <v>2018</v>
      </c>
      <c r="B684" s="8">
        <v>198</v>
      </c>
      <c r="D684" s="8" t="s">
        <v>18</v>
      </c>
      <c r="F684" t="s">
        <v>19</v>
      </c>
      <c r="G684" s="8" t="s">
        <v>60</v>
      </c>
      <c r="H684" t="s">
        <v>61</v>
      </c>
      <c r="I684" s="8" t="s">
        <v>60</v>
      </c>
      <c r="J684" t="s">
        <v>61</v>
      </c>
      <c r="K684" s="8" t="s">
        <v>25</v>
      </c>
      <c r="L684" t="s">
        <v>35</v>
      </c>
      <c r="O684">
        <v>0</v>
      </c>
      <c r="P684">
        <v>1</v>
      </c>
      <c r="Q684">
        <v>1</v>
      </c>
      <c r="R684">
        <v>1</v>
      </c>
      <c r="S684">
        <v>0</v>
      </c>
      <c r="T684">
        <v>0</v>
      </c>
      <c r="U684">
        <v>0</v>
      </c>
      <c r="V684">
        <v>0</v>
      </c>
      <c r="W684" s="8">
        <v>0</v>
      </c>
      <c r="X684">
        <v>0</v>
      </c>
      <c r="Y684" s="8">
        <v>0</v>
      </c>
      <c r="Z684" s="8"/>
      <c r="AA684" s="8" t="s">
        <v>531</v>
      </c>
      <c r="AB684" t="s">
        <v>21</v>
      </c>
    </row>
    <row r="685" spans="1:30">
      <c r="A685" s="8">
        <v>2018</v>
      </c>
      <c r="B685" s="8">
        <v>199</v>
      </c>
      <c r="D685" s="8" t="s">
        <v>18</v>
      </c>
      <c r="F685" t="s">
        <v>19</v>
      </c>
      <c r="G685" s="8" t="s">
        <v>35</v>
      </c>
      <c r="I685" s="8" t="s">
        <v>22</v>
      </c>
      <c r="J685" t="s">
        <v>24</v>
      </c>
      <c r="K685" s="8" t="s">
        <v>41</v>
      </c>
      <c r="L685" t="s">
        <v>35</v>
      </c>
      <c r="O685">
        <v>0</v>
      </c>
      <c r="P685">
        <v>1</v>
      </c>
      <c r="Q685">
        <v>1</v>
      </c>
      <c r="R685">
        <v>0</v>
      </c>
      <c r="S685">
        <v>0</v>
      </c>
      <c r="T685">
        <v>0</v>
      </c>
      <c r="U685">
        <v>1</v>
      </c>
      <c r="V685">
        <v>0</v>
      </c>
      <c r="W685" s="8">
        <v>1</v>
      </c>
      <c r="X685">
        <v>1</v>
      </c>
      <c r="Y685">
        <v>0</v>
      </c>
      <c r="Z685" s="8" t="s">
        <v>241</v>
      </c>
      <c r="AA685" s="8" t="s">
        <v>532</v>
      </c>
      <c r="AB685" t="s">
        <v>21</v>
      </c>
    </row>
    <row r="686" spans="1:30">
      <c r="A686" s="8">
        <v>2018</v>
      </c>
      <c r="B686" s="8">
        <v>199</v>
      </c>
      <c r="D686" s="8" t="s">
        <v>18</v>
      </c>
      <c r="F686" t="s">
        <v>19</v>
      </c>
      <c r="G686" s="8" t="s">
        <v>152</v>
      </c>
      <c r="H686" t="s">
        <v>184</v>
      </c>
      <c r="I686" s="8" t="s">
        <v>22</v>
      </c>
      <c r="J686" t="s">
        <v>24</v>
      </c>
      <c r="K686" s="8" t="s">
        <v>41</v>
      </c>
      <c r="L686" t="s">
        <v>35</v>
      </c>
      <c r="O686">
        <v>0</v>
      </c>
      <c r="P686">
        <v>1</v>
      </c>
      <c r="Q686">
        <v>0</v>
      </c>
      <c r="R686">
        <v>0</v>
      </c>
      <c r="S686">
        <v>0</v>
      </c>
      <c r="T686">
        <v>0</v>
      </c>
      <c r="U686">
        <v>1</v>
      </c>
      <c r="V686">
        <v>0</v>
      </c>
      <c r="W686" s="8">
        <v>1</v>
      </c>
      <c r="X686">
        <v>1</v>
      </c>
      <c r="Y686" s="8">
        <v>0</v>
      </c>
      <c r="Z686" s="8" t="s">
        <v>241</v>
      </c>
      <c r="AA686" s="8" t="s">
        <v>532</v>
      </c>
      <c r="AB686" t="s">
        <v>21</v>
      </c>
    </row>
    <row r="687" spans="1:30">
      <c r="A687" s="8">
        <v>2018</v>
      </c>
      <c r="B687" s="8">
        <v>199</v>
      </c>
      <c r="D687" s="8" t="s">
        <v>18</v>
      </c>
      <c r="F687" t="s">
        <v>19</v>
      </c>
      <c r="G687" s="8" t="s">
        <v>22</v>
      </c>
      <c r="H687" t="s">
        <v>24</v>
      </c>
      <c r="I687" s="8" t="s">
        <v>22</v>
      </c>
      <c r="J687" t="s">
        <v>24</v>
      </c>
      <c r="K687" s="8" t="s">
        <v>41</v>
      </c>
      <c r="L687" t="s">
        <v>35</v>
      </c>
      <c r="O687">
        <v>0</v>
      </c>
      <c r="P687">
        <v>1</v>
      </c>
      <c r="Q687">
        <v>1</v>
      </c>
      <c r="R687">
        <v>0</v>
      </c>
      <c r="S687">
        <v>0</v>
      </c>
      <c r="T687">
        <v>0</v>
      </c>
      <c r="U687">
        <v>1</v>
      </c>
      <c r="V687">
        <v>0</v>
      </c>
      <c r="W687" s="8">
        <v>1</v>
      </c>
      <c r="X687">
        <v>1</v>
      </c>
      <c r="Y687" s="8">
        <v>0</v>
      </c>
      <c r="Z687" s="8" t="s">
        <v>241</v>
      </c>
      <c r="AA687" s="8" t="s">
        <v>532</v>
      </c>
      <c r="AB687" t="s">
        <v>21</v>
      </c>
    </row>
    <row r="688" spans="1:30">
      <c r="A688" s="8">
        <v>2018</v>
      </c>
      <c r="B688" s="8">
        <v>199</v>
      </c>
      <c r="D688" s="8" t="s">
        <v>18</v>
      </c>
      <c r="F688" t="s">
        <v>19</v>
      </c>
      <c r="G688" s="8" t="s">
        <v>191</v>
      </c>
      <c r="H688" t="s">
        <v>194</v>
      </c>
      <c r="I688" s="8" t="s">
        <v>22</v>
      </c>
      <c r="J688" t="s">
        <v>24</v>
      </c>
      <c r="K688" s="8" t="s">
        <v>41</v>
      </c>
      <c r="L688" t="s">
        <v>35</v>
      </c>
      <c r="O688">
        <v>0</v>
      </c>
      <c r="P688">
        <v>1</v>
      </c>
      <c r="Q688">
        <v>0</v>
      </c>
      <c r="R688">
        <v>0</v>
      </c>
      <c r="S688">
        <v>0</v>
      </c>
      <c r="T688">
        <v>0</v>
      </c>
      <c r="U688">
        <v>1</v>
      </c>
      <c r="V688">
        <v>0</v>
      </c>
      <c r="W688" s="8">
        <v>1</v>
      </c>
      <c r="X688">
        <v>1</v>
      </c>
      <c r="Y688" s="8">
        <v>0</v>
      </c>
      <c r="Z688" s="8" t="s">
        <v>241</v>
      </c>
      <c r="AA688" s="8" t="s">
        <v>532</v>
      </c>
      <c r="AB688" t="s">
        <v>21</v>
      </c>
    </row>
    <row r="689" spans="1:29">
      <c r="A689" s="8">
        <v>2018</v>
      </c>
      <c r="B689" s="8">
        <v>199</v>
      </c>
      <c r="D689" s="8" t="s">
        <v>18</v>
      </c>
      <c r="F689" t="s">
        <v>19</v>
      </c>
      <c r="G689" s="8" t="s">
        <v>192</v>
      </c>
      <c r="H689" t="s">
        <v>195</v>
      </c>
      <c r="I689" s="8" t="s">
        <v>22</v>
      </c>
      <c r="J689" t="s">
        <v>24</v>
      </c>
      <c r="K689" s="8" t="s">
        <v>41</v>
      </c>
      <c r="L689" t="s">
        <v>35</v>
      </c>
      <c r="O689">
        <v>0</v>
      </c>
      <c r="P689">
        <v>1</v>
      </c>
      <c r="Q689">
        <v>0</v>
      </c>
      <c r="R689">
        <v>0</v>
      </c>
      <c r="S689">
        <v>0</v>
      </c>
      <c r="T689">
        <v>0</v>
      </c>
      <c r="U689">
        <v>1</v>
      </c>
      <c r="V689">
        <v>0</v>
      </c>
      <c r="W689" s="8">
        <v>1</v>
      </c>
      <c r="X689">
        <v>1</v>
      </c>
      <c r="Y689" s="8">
        <v>0</v>
      </c>
      <c r="Z689" s="8" t="s">
        <v>241</v>
      </c>
      <c r="AA689" s="8" t="s">
        <v>532</v>
      </c>
      <c r="AB689" t="s">
        <v>21</v>
      </c>
    </row>
    <row r="690" spans="1:29">
      <c r="A690" s="8">
        <v>2018</v>
      </c>
      <c r="B690" s="8">
        <v>199</v>
      </c>
      <c r="D690" s="8" t="s">
        <v>18</v>
      </c>
      <c r="F690" t="s">
        <v>19</v>
      </c>
      <c r="G690" s="8" t="s">
        <v>60</v>
      </c>
      <c r="H690" t="s">
        <v>61</v>
      </c>
      <c r="I690" s="8" t="s">
        <v>22</v>
      </c>
      <c r="J690" t="s">
        <v>24</v>
      </c>
      <c r="K690" s="8" t="s">
        <v>41</v>
      </c>
      <c r="L690" t="s">
        <v>35</v>
      </c>
      <c r="O690">
        <v>0</v>
      </c>
      <c r="P690">
        <v>1</v>
      </c>
      <c r="Q690">
        <v>0</v>
      </c>
      <c r="R690">
        <v>0</v>
      </c>
      <c r="S690">
        <v>0</v>
      </c>
      <c r="T690">
        <v>0</v>
      </c>
      <c r="U690">
        <v>1</v>
      </c>
      <c r="V690">
        <v>0</v>
      </c>
      <c r="W690" s="8">
        <v>1</v>
      </c>
      <c r="X690">
        <v>1</v>
      </c>
      <c r="Y690" s="8">
        <v>0</v>
      </c>
      <c r="Z690" s="8" t="s">
        <v>241</v>
      </c>
      <c r="AA690" s="8" t="s">
        <v>532</v>
      </c>
      <c r="AB690" t="s">
        <v>21</v>
      </c>
    </row>
    <row r="691" spans="1:29">
      <c r="A691" s="8">
        <v>2018</v>
      </c>
      <c r="B691" s="8">
        <v>199</v>
      </c>
      <c r="D691" s="8" t="s">
        <v>18</v>
      </c>
      <c r="F691" t="s">
        <v>19</v>
      </c>
      <c r="G691" s="8" t="s">
        <v>26</v>
      </c>
      <c r="I691" s="8" t="s">
        <v>22</v>
      </c>
      <c r="J691" t="s">
        <v>24</v>
      </c>
      <c r="K691" s="8" t="s">
        <v>41</v>
      </c>
      <c r="L691" t="s">
        <v>35</v>
      </c>
      <c r="O691">
        <v>0</v>
      </c>
      <c r="P691">
        <v>0</v>
      </c>
      <c r="Q691">
        <v>1</v>
      </c>
      <c r="R691">
        <v>0</v>
      </c>
      <c r="S691">
        <v>0</v>
      </c>
      <c r="T691">
        <v>0</v>
      </c>
      <c r="U691">
        <v>1</v>
      </c>
      <c r="V691">
        <v>0</v>
      </c>
      <c r="W691" s="8">
        <v>1</v>
      </c>
      <c r="X691">
        <v>1</v>
      </c>
      <c r="Y691" s="8">
        <v>0</v>
      </c>
      <c r="Z691" s="8" t="s">
        <v>241</v>
      </c>
      <c r="AA691" s="8" t="s">
        <v>532</v>
      </c>
      <c r="AB691" t="s">
        <v>21</v>
      </c>
    </row>
    <row r="692" spans="1:29">
      <c r="A692" s="8">
        <v>2018</v>
      </c>
      <c r="B692" s="8">
        <v>199</v>
      </c>
      <c r="D692" s="8" t="s">
        <v>18</v>
      </c>
      <c r="F692" t="s">
        <v>19</v>
      </c>
      <c r="G692" s="8" t="s">
        <v>324</v>
      </c>
      <c r="H692" t="s">
        <v>332</v>
      </c>
      <c r="I692" s="8" t="s">
        <v>22</v>
      </c>
      <c r="J692" t="s">
        <v>24</v>
      </c>
      <c r="K692" s="8" t="s">
        <v>41</v>
      </c>
      <c r="L692" t="s">
        <v>35</v>
      </c>
      <c r="O692">
        <v>0</v>
      </c>
      <c r="P692">
        <v>0</v>
      </c>
      <c r="Q692">
        <v>0</v>
      </c>
      <c r="R692">
        <v>0</v>
      </c>
      <c r="S692">
        <v>0</v>
      </c>
      <c r="T692">
        <v>0</v>
      </c>
      <c r="U692">
        <v>1</v>
      </c>
      <c r="V692">
        <v>0</v>
      </c>
      <c r="W692" s="8">
        <v>1</v>
      </c>
      <c r="X692">
        <v>1</v>
      </c>
      <c r="Y692" s="8">
        <v>0</v>
      </c>
      <c r="Z692" s="8" t="s">
        <v>241</v>
      </c>
      <c r="AA692" s="8" t="s">
        <v>532</v>
      </c>
      <c r="AB692" t="s">
        <v>21</v>
      </c>
    </row>
    <row r="693" spans="1:29">
      <c r="A693" s="8">
        <v>2018</v>
      </c>
      <c r="B693" s="8">
        <v>199</v>
      </c>
      <c r="D693" s="8" t="s">
        <v>18</v>
      </c>
      <c r="F693" t="s">
        <v>19</v>
      </c>
      <c r="G693" s="8" t="s">
        <v>156</v>
      </c>
      <c r="H693" t="s">
        <v>189</v>
      </c>
      <c r="I693" s="8" t="s">
        <v>22</v>
      </c>
      <c r="J693" t="s">
        <v>24</v>
      </c>
      <c r="K693" s="8" t="s">
        <v>41</v>
      </c>
      <c r="L693" t="s">
        <v>35</v>
      </c>
      <c r="O693">
        <v>0</v>
      </c>
      <c r="P693">
        <v>0</v>
      </c>
      <c r="Q693">
        <v>0</v>
      </c>
      <c r="R693">
        <v>0</v>
      </c>
      <c r="S693">
        <v>0</v>
      </c>
      <c r="T693">
        <v>0</v>
      </c>
      <c r="U693">
        <v>1</v>
      </c>
      <c r="V693">
        <v>0</v>
      </c>
      <c r="W693" s="8">
        <v>1</v>
      </c>
      <c r="X693">
        <v>1</v>
      </c>
      <c r="Y693" s="8">
        <v>0</v>
      </c>
      <c r="Z693" s="8" t="s">
        <v>241</v>
      </c>
      <c r="AA693" s="8" t="s">
        <v>532</v>
      </c>
      <c r="AB693" t="s">
        <v>21</v>
      </c>
    </row>
    <row r="694" spans="1:29">
      <c r="A694" s="8">
        <v>2018</v>
      </c>
      <c r="B694" s="8">
        <v>199</v>
      </c>
      <c r="D694" s="8" t="s">
        <v>18</v>
      </c>
      <c r="F694" t="s">
        <v>19</v>
      </c>
      <c r="G694" s="8" t="s">
        <v>151</v>
      </c>
      <c r="H694" t="s">
        <v>183</v>
      </c>
      <c r="I694" s="8" t="s">
        <v>22</v>
      </c>
      <c r="J694" t="s">
        <v>24</v>
      </c>
      <c r="K694" s="8" t="s">
        <v>41</v>
      </c>
      <c r="L694" t="s">
        <v>35</v>
      </c>
      <c r="O694">
        <v>0</v>
      </c>
      <c r="P694">
        <v>0</v>
      </c>
      <c r="Q694">
        <v>0</v>
      </c>
      <c r="R694">
        <v>0</v>
      </c>
      <c r="S694">
        <v>0</v>
      </c>
      <c r="T694">
        <v>0</v>
      </c>
      <c r="U694">
        <v>1</v>
      </c>
      <c r="V694">
        <v>0</v>
      </c>
      <c r="W694" s="8">
        <v>1</v>
      </c>
      <c r="X694">
        <v>1</v>
      </c>
      <c r="Y694" s="8">
        <v>0</v>
      </c>
      <c r="Z694" s="8" t="s">
        <v>241</v>
      </c>
      <c r="AA694" s="8" t="s">
        <v>532</v>
      </c>
      <c r="AB694" t="s">
        <v>21</v>
      </c>
    </row>
    <row r="695" spans="1:29">
      <c r="A695" s="8">
        <v>2018</v>
      </c>
      <c r="B695" s="8">
        <v>199</v>
      </c>
      <c r="D695" s="8" t="s">
        <v>18</v>
      </c>
      <c r="F695" t="s">
        <v>19</v>
      </c>
      <c r="G695" s="8" t="s">
        <v>482</v>
      </c>
      <c r="H695" t="s">
        <v>483</v>
      </c>
      <c r="I695" s="8" t="s">
        <v>22</v>
      </c>
      <c r="J695" t="s">
        <v>24</v>
      </c>
      <c r="K695" s="8" t="s">
        <v>41</v>
      </c>
      <c r="L695" t="s">
        <v>35</v>
      </c>
      <c r="O695">
        <v>0</v>
      </c>
      <c r="P695">
        <v>0</v>
      </c>
      <c r="Q695">
        <v>0</v>
      </c>
      <c r="R695">
        <v>0</v>
      </c>
      <c r="S695">
        <v>0</v>
      </c>
      <c r="T695">
        <v>0</v>
      </c>
      <c r="U695">
        <v>1</v>
      </c>
      <c r="V695">
        <v>0</v>
      </c>
      <c r="W695" s="8">
        <v>1</v>
      </c>
      <c r="X695">
        <v>1</v>
      </c>
      <c r="Y695" s="8">
        <v>0</v>
      </c>
      <c r="Z695" s="8" t="s">
        <v>241</v>
      </c>
      <c r="AA695" s="8" t="s">
        <v>532</v>
      </c>
      <c r="AB695" t="s">
        <v>21</v>
      </c>
    </row>
    <row r="696" spans="1:29">
      <c r="A696" s="8">
        <v>2018</v>
      </c>
      <c r="B696" s="8">
        <v>199</v>
      </c>
      <c r="D696" s="8" t="s">
        <v>18</v>
      </c>
      <c r="F696" t="s">
        <v>19</v>
      </c>
      <c r="G696" s="8" t="s">
        <v>196</v>
      </c>
      <c r="H696" t="s">
        <v>197</v>
      </c>
      <c r="I696" s="8" t="s">
        <v>22</v>
      </c>
      <c r="J696" t="s">
        <v>24</v>
      </c>
      <c r="K696" s="8" t="s">
        <v>41</v>
      </c>
      <c r="L696" t="s">
        <v>35</v>
      </c>
      <c r="O696">
        <v>0</v>
      </c>
      <c r="P696">
        <v>0</v>
      </c>
      <c r="Q696">
        <v>0</v>
      </c>
      <c r="R696">
        <v>0</v>
      </c>
      <c r="S696">
        <v>0</v>
      </c>
      <c r="T696">
        <v>0</v>
      </c>
      <c r="U696">
        <v>1</v>
      </c>
      <c r="V696">
        <v>0</v>
      </c>
      <c r="W696" s="8">
        <v>1</v>
      </c>
      <c r="X696">
        <v>1</v>
      </c>
      <c r="Y696" s="8">
        <v>0</v>
      </c>
      <c r="Z696" s="8" t="s">
        <v>241</v>
      </c>
      <c r="AA696" s="8" t="s">
        <v>532</v>
      </c>
      <c r="AB696" t="s">
        <v>21</v>
      </c>
    </row>
    <row r="697" spans="1:29">
      <c r="A697" s="8">
        <v>2018</v>
      </c>
      <c r="B697" s="8">
        <v>199</v>
      </c>
      <c r="D697" s="8" t="s">
        <v>18</v>
      </c>
      <c r="F697" t="s">
        <v>19</v>
      </c>
      <c r="G697" s="8" t="s">
        <v>202</v>
      </c>
      <c r="H697" t="s">
        <v>205</v>
      </c>
      <c r="I697" s="8" t="s">
        <v>22</v>
      </c>
      <c r="J697" t="s">
        <v>24</v>
      </c>
      <c r="K697" s="8" t="s">
        <v>41</v>
      </c>
      <c r="L697" t="s">
        <v>35</v>
      </c>
      <c r="O697" s="8">
        <v>0</v>
      </c>
      <c r="P697">
        <v>0</v>
      </c>
      <c r="Q697">
        <v>0</v>
      </c>
      <c r="R697">
        <v>0</v>
      </c>
      <c r="S697">
        <v>0</v>
      </c>
      <c r="T697">
        <v>0</v>
      </c>
      <c r="U697">
        <v>0</v>
      </c>
      <c r="V697">
        <v>1</v>
      </c>
      <c r="W697" s="8">
        <v>1</v>
      </c>
      <c r="X697">
        <v>1</v>
      </c>
      <c r="Y697" s="8">
        <v>0</v>
      </c>
      <c r="Z697" s="8" t="s">
        <v>241</v>
      </c>
      <c r="AA697" s="8" t="s">
        <v>532</v>
      </c>
      <c r="AB697" t="s">
        <v>21</v>
      </c>
      <c r="AC697" s="8" t="s">
        <v>533</v>
      </c>
    </row>
    <row r="698" spans="1:29">
      <c r="A698" s="8">
        <v>2018</v>
      </c>
      <c r="B698" s="8">
        <v>199</v>
      </c>
      <c r="D698" s="8" t="s">
        <v>18</v>
      </c>
      <c r="F698" t="s">
        <v>19</v>
      </c>
      <c r="G698" s="8" t="s">
        <v>193</v>
      </c>
      <c r="H698" t="s">
        <v>185</v>
      </c>
      <c r="I698" s="8" t="s">
        <v>22</v>
      </c>
      <c r="J698" t="s">
        <v>24</v>
      </c>
      <c r="K698" s="8" t="s">
        <v>41</v>
      </c>
      <c r="L698" t="s">
        <v>35</v>
      </c>
      <c r="O698" s="8">
        <v>0</v>
      </c>
      <c r="P698">
        <v>0</v>
      </c>
      <c r="Q698">
        <v>0</v>
      </c>
      <c r="R698">
        <v>0</v>
      </c>
      <c r="S698">
        <v>0</v>
      </c>
      <c r="T698">
        <v>0</v>
      </c>
      <c r="U698">
        <v>0</v>
      </c>
      <c r="V698">
        <v>1</v>
      </c>
      <c r="W698" s="8">
        <v>1</v>
      </c>
      <c r="X698">
        <v>1</v>
      </c>
      <c r="Y698" s="8">
        <v>0</v>
      </c>
      <c r="Z698" s="8" t="s">
        <v>241</v>
      </c>
      <c r="AA698" s="8" t="s">
        <v>532</v>
      </c>
      <c r="AB698" t="s">
        <v>21</v>
      </c>
      <c r="AC698" s="8" t="s">
        <v>533</v>
      </c>
    </row>
    <row r="699" spans="1:29">
      <c r="A699" s="8">
        <v>2018</v>
      </c>
      <c r="B699" s="8">
        <v>199</v>
      </c>
      <c r="D699" s="8" t="s">
        <v>18</v>
      </c>
      <c r="F699" t="s">
        <v>19</v>
      </c>
      <c r="G699" s="8" t="s">
        <v>203</v>
      </c>
      <c r="H699" t="s">
        <v>206</v>
      </c>
      <c r="I699" s="8" t="s">
        <v>22</v>
      </c>
      <c r="J699" t="s">
        <v>24</v>
      </c>
      <c r="K699" s="8" t="s">
        <v>41</v>
      </c>
      <c r="L699" t="s">
        <v>35</v>
      </c>
      <c r="O699">
        <v>0</v>
      </c>
      <c r="P699">
        <v>0</v>
      </c>
      <c r="Q699">
        <v>0</v>
      </c>
      <c r="R699">
        <v>0</v>
      </c>
      <c r="S699">
        <v>0</v>
      </c>
      <c r="T699">
        <v>0</v>
      </c>
      <c r="U699">
        <v>0</v>
      </c>
      <c r="V699">
        <v>1</v>
      </c>
      <c r="W699" s="8">
        <v>1</v>
      </c>
      <c r="X699">
        <v>1</v>
      </c>
      <c r="Y699" s="8">
        <v>0</v>
      </c>
      <c r="Z699" s="8" t="s">
        <v>241</v>
      </c>
      <c r="AA699" s="8" t="s">
        <v>532</v>
      </c>
      <c r="AB699" t="s">
        <v>21</v>
      </c>
      <c r="AC699" s="8" t="s">
        <v>533</v>
      </c>
    </row>
    <row r="700" spans="1:29">
      <c r="A700" s="8">
        <v>2018</v>
      </c>
      <c r="B700" s="8">
        <v>199</v>
      </c>
      <c r="D700" s="8" t="s">
        <v>18</v>
      </c>
      <c r="F700" t="s">
        <v>19</v>
      </c>
      <c r="G700" s="8" t="s">
        <v>249</v>
      </c>
      <c r="H700" t="s">
        <v>250</v>
      </c>
      <c r="I700" s="8" t="s">
        <v>22</v>
      </c>
      <c r="J700" t="s">
        <v>24</v>
      </c>
      <c r="K700" s="8" t="s">
        <v>41</v>
      </c>
      <c r="L700" t="s">
        <v>35</v>
      </c>
      <c r="O700">
        <v>0</v>
      </c>
      <c r="P700">
        <v>0</v>
      </c>
      <c r="Q700">
        <v>0</v>
      </c>
      <c r="R700">
        <v>0</v>
      </c>
      <c r="S700">
        <v>0</v>
      </c>
      <c r="T700">
        <v>0</v>
      </c>
      <c r="U700">
        <v>1</v>
      </c>
      <c r="V700">
        <v>0</v>
      </c>
      <c r="W700" s="8">
        <v>1</v>
      </c>
      <c r="X700">
        <v>1</v>
      </c>
      <c r="Y700" s="8">
        <v>0</v>
      </c>
      <c r="Z700" s="8" t="s">
        <v>241</v>
      </c>
      <c r="AA700" s="8" t="s">
        <v>532</v>
      </c>
      <c r="AB700" t="s">
        <v>21</v>
      </c>
      <c r="AC700" s="8"/>
    </row>
    <row r="701" spans="1:29">
      <c r="A701" s="8">
        <v>2018</v>
      </c>
      <c r="B701" s="8">
        <v>199</v>
      </c>
      <c r="D701" s="8" t="s">
        <v>18</v>
      </c>
      <c r="F701" t="s">
        <v>19</v>
      </c>
      <c r="G701" s="8" t="s">
        <v>161</v>
      </c>
      <c r="I701" s="8" t="s">
        <v>22</v>
      </c>
      <c r="J701" t="s">
        <v>24</v>
      </c>
      <c r="K701" s="8" t="s">
        <v>41</v>
      </c>
      <c r="L701" t="s">
        <v>35</v>
      </c>
      <c r="O701">
        <v>0</v>
      </c>
      <c r="P701">
        <v>0</v>
      </c>
      <c r="Q701">
        <v>0</v>
      </c>
      <c r="R701">
        <v>0</v>
      </c>
      <c r="S701">
        <v>0</v>
      </c>
      <c r="T701">
        <v>0</v>
      </c>
      <c r="U701">
        <v>1</v>
      </c>
      <c r="V701">
        <v>0</v>
      </c>
      <c r="W701" s="8">
        <v>1</v>
      </c>
      <c r="X701">
        <v>1</v>
      </c>
      <c r="Y701" s="8">
        <v>0</v>
      </c>
      <c r="Z701" s="8" t="s">
        <v>241</v>
      </c>
      <c r="AA701" s="8" t="s">
        <v>532</v>
      </c>
      <c r="AB701" t="s">
        <v>21</v>
      </c>
      <c r="AC701" s="8"/>
    </row>
    <row r="702" spans="1:29">
      <c r="A702" s="8">
        <v>2018</v>
      </c>
      <c r="B702" s="8">
        <v>199</v>
      </c>
      <c r="D702" s="8" t="s">
        <v>18</v>
      </c>
      <c r="F702" t="s">
        <v>19</v>
      </c>
      <c r="G702" s="8" t="s">
        <v>37</v>
      </c>
      <c r="I702" s="8" t="s">
        <v>22</v>
      </c>
      <c r="J702" t="s">
        <v>24</v>
      </c>
      <c r="K702" s="8" t="s">
        <v>41</v>
      </c>
      <c r="L702" t="s">
        <v>35</v>
      </c>
      <c r="O702">
        <v>0</v>
      </c>
      <c r="P702">
        <v>0</v>
      </c>
      <c r="Q702">
        <v>0</v>
      </c>
      <c r="R702">
        <v>0</v>
      </c>
      <c r="S702">
        <v>0</v>
      </c>
      <c r="T702">
        <v>0</v>
      </c>
      <c r="U702">
        <v>1</v>
      </c>
      <c r="V702">
        <v>0</v>
      </c>
      <c r="W702" s="8">
        <v>1</v>
      </c>
      <c r="X702">
        <v>1</v>
      </c>
      <c r="Y702" s="8">
        <v>0</v>
      </c>
      <c r="Z702" s="8" t="s">
        <v>241</v>
      </c>
      <c r="AA702" s="8" t="s">
        <v>532</v>
      </c>
      <c r="AB702" t="s">
        <v>21</v>
      </c>
      <c r="AC702" s="8"/>
    </row>
    <row r="703" spans="1:29">
      <c r="A703" s="8">
        <v>2018</v>
      </c>
      <c r="B703" s="8">
        <v>200</v>
      </c>
      <c r="D703" s="8" t="s">
        <v>18</v>
      </c>
      <c r="F703" t="s">
        <v>19</v>
      </c>
      <c r="G703" s="8" t="s">
        <v>161</v>
      </c>
      <c r="I703" s="8"/>
      <c r="K703" s="8" t="s">
        <v>41</v>
      </c>
      <c r="O703">
        <v>0</v>
      </c>
      <c r="P703">
        <v>0</v>
      </c>
      <c r="Q703">
        <v>0</v>
      </c>
      <c r="R703">
        <v>0</v>
      </c>
      <c r="S703">
        <v>0</v>
      </c>
      <c r="T703">
        <v>0</v>
      </c>
      <c r="U703">
        <v>0</v>
      </c>
      <c r="V703">
        <v>1</v>
      </c>
      <c r="W703" s="8">
        <v>0</v>
      </c>
      <c r="X703">
        <v>0</v>
      </c>
      <c r="Y703" s="8">
        <v>0</v>
      </c>
      <c r="Z703" s="8"/>
      <c r="AA703" s="8" t="s">
        <v>1052</v>
      </c>
      <c r="AB703" t="s">
        <v>1053</v>
      </c>
      <c r="AC703" s="8"/>
    </row>
    <row r="704" spans="1:29">
      <c r="A704" s="8">
        <v>2018</v>
      </c>
      <c r="B704" s="8">
        <v>200</v>
      </c>
      <c r="D704" s="8" t="s">
        <v>18</v>
      </c>
      <c r="F704" t="s">
        <v>19</v>
      </c>
      <c r="G704" s="8" t="s">
        <v>203</v>
      </c>
      <c r="H704" t="s">
        <v>206</v>
      </c>
      <c r="I704" s="8"/>
      <c r="K704" s="8" t="s">
        <v>41</v>
      </c>
      <c r="O704">
        <v>0</v>
      </c>
      <c r="P704">
        <v>0</v>
      </c>
      <c r="Q704">
        <v>0</v>
      </c>
      <c r="R704">
        <v>0</v>
      </c>
      <c r="S704">
        <v>0</v>
      </c>
      <c r="T704">
        <v>0</v>
      </c>
      <c r="U704">
        <v>0</v>
      </c>
      <c r="V704">
        <v>1</v>
      </c>
      <c r="W704" s="8">
        <v>0</v>
      </c>
      <c r="X704">
        <v>0</v>
      </c>
      <c r="Y704" s="8">
        <v>0</v>
      </c>
      <c r="Z704" s="8"/>
      <c r="AA704" s="8" t="s">
        <v>1052</v>
      </c>
      <c r="AB704" t="s">
        <v>1053</v>
      </c>
      <c r="AC704" s="8"/>
    </row>
    <row r="705" spans="1:32">
      <c r="A705" s="8">
        <v>2018</v>
      </c>
      <c r="B705" s="8">
        <v>200</v>
      </c>
      <c r="D705" s="8" t="s">
        <v>18</v>
      </c>
      <c r="F705" t="s">
        <v>19</v>
      </c>
      <c r="G705" s="8" t="s">
        <v>671</v>
      </c>
      <c r="H705" t="s">
        <v>689</v>
      </c>
      <c r="I705" s="8"/>
      <c r="K705" s="8" t="s">
        <v>41</v>
      </c>
      <c r="O705">
        <v>0</v>
      </c>
      <c r="P705">
        <v>0</v>
      </c>
      <c r="Q705">
        <v>0</v>
      </c>
      <c r="R705">
        <v>0</v>
      </c>
      <c r="S705">
        <v>0</v>
      </c>
      <c r="T705">
        <v>0</v>
      </c>
      <c r="U705">
        <v>0</v>
      </c>
      <c r="V705">
        <v>1</v>
      </c>
      <c r="W705" s="8">
        <v>0</v>
      </c>
      <c r="X705">
        <v>0</v>
      </c>
      <c r="Y705" s="8">
        <v>0</v>
      </c>
      <c r="Z705" s="8"/>
      <c r="AA705" s="8" t="s">
        <v>1052</v>
      </c>
      <c r="AB705" t="s">
        <v>1053</v>
      </c>
      <c r="AC705" s="8"/>
    </row>
    <row r="706" spans="1:32">
      <c r="A706" s="8">
        <v>2018</v>
      </c>
      <c r="B706" s="8">
        <v>200</v>
      </c>
      <c r="D706" s="8" t="s">
        <v>18</v>
      </c>
      <c r="F706" t="s">
        <v>19</v>
      </c>
      <c r="G706" s="8" t="s">
        <v>612</v>
      </c>
      <c r="H706" t="s">
        <v>618</v>
      </c>
      <c r="I706" s="8"/>
      <c r="K706" s="8" t="s">
        <v>41</v>
      </c>
      <c r="O706">
        <v>0</v>
      </c>
      <c r="P706">
        <v>0</v>
      </c>
      <c r="Q706">
        <v>0</v>
      </c>
      <c r="R706">
        <v>0</v>
      </c>
      <c r="S706">
        <v>0</v>
      </c>
      <c r="T706">
        <v>0</v>
      </c>
      <c r="U706">
        <v>0</v>
      </c>
      <c r="V706">
        <v>1</v>
      </c>
      <c r="W706" s="8">
        <v>0</v>
      </c>
      <c r="X706">
        <v>0</v>
      </c>
      <c r="Y706" s="8">
        <v>0</v>
      </c>
      <c r="Z706" s="8"/>
      <c r="AA706" s="8" t="s">
        <v>1052</v>
      </c>
      <c r="AB706" t="s">
        <v>1053</v>
      </c>
      <c r="AC706" s="8"/>
    </row>
    <row r="707" spans="1:32">
      <c r="A707" s="8">
        <v>2018</v>
      </c>
      <c r="B707" s="8">
        <v>200</v>
      </c>
      <c r="D707" s="8" t="s">
        <v>18</v>
      </c>
      <c r="F707" t="s">
        <v>19</v>
      </c>
      <c r="G707" s="8" t="s">
        <v>202</v>
      </c>
      <c r="H707" t="s">
        <v>205</v>
      </c>
      <c r="I707" s="8"/>
      <c r="K707" s="8" t="s">
        <v>41</v>
      </c>
      <c r="O707">
        <v>0</v>
      </c>
      <c r="P707">
        <v>0</v>
      </c>
      <c r="Q707">
        <v>0</v>
      </c>
      <c r="R707">
        <v>0</v>
      </c>
      <c r="S707">
        <v>0</v>
      </c>
      <c r="T707">
        <v>0</v>
      </c>
      <c r="U707">
        <v>0</v>
      </c>
      <c r="V707">
        <v>1</v>
      </c>
      <c r="W707" s="8">
        <v>0</v>
      </c>
      <c r="X707">
        <v>0</v>
      </c>
      <c r="Y707" s="8">
        <v>0</v>
      </c>
      <c r="Z707" s="8"/>
      <c r="AA707" s="8" t="s">
        <v>1052</v>
      </c>
      <c r="AB707" t="s">
        <v>1053</v>
      </c>
      <c r="AC707" s="8"/>
    </row>
    <row r="708" spans="1:32">
      <c r="A708" s="8">
        <v>2018</v>
      </c>
      <c r="B708" s="8">
        <v>200</v>
      </c>
      <c r="D708" s="8" t="s">
        <v>18</v>
      </c>
      <c r="F708" t="s">
        <v>19</v>
      </c>
      <c r="G708" s="8" t="s">
        <v>249</v>
      </c>
      <c r="H708" t="s">
        <v>250</v>
      </c>
      <c r="I708" s="8"/>
      <c r="K708" s="8" t="s">
        <v>41</v>
      </c>
      <c r="O708">
        <v>0</v>
      </c>
      <c r="P708">
        <v>0</v>
      </c>
      <c r="Q708">
        <v>0</v>
      </c>
      <c r="R708">
        <v>0</v>
      </c>
      <c r="S708">
        <v>0</v>
      </c>
      <c r="T708">
        <v>0</v>
      </c>
      <c r="U708">
        <v>0</v>
      </c>
      <c r="V708">
        <v>1</v>
      </c>
      <c r="W708" s="8">
        <v>0</v>
      </c>
      <c r="X708">
        <v>0</v>
      </c>
      <c r="Y708" s="8">
        <v>0</v>
      </c>
      <c r="Z708" s="8"/>
      <c r="AA708" s="8" t="s">
        <v>1052</v>
      </c>
      <c r="AB708" t="s">
        <v>1053</v>
      </c>
      <c r="AC708" s="8"/>
    </row>
    <row r="709" spans="1:32">
      <c r="A709" s="8">
        <v>2018</v>
      </c>
      <c r="B709" s="8">
        <v>200</v>
      </c>
      <c r="D709" s="8" t="s">
        <v>18</v>
      </c>
      <c r="F709" t="s">
        <v>19</v>
      </c>
      <c r="G709" s="8" t="s">
        <v>193</v>
      </c>
      <c r="H709" t="s">
        <v>185</v>
      </c>
      <c r="I709" s="8"/>
      <c r="K709" s="8" t="s">
        <v>41</v>
      </c>
      <c r="O709">
        <v>0</v>
      </c>
      <c r="P709">
        <v>0</v>
      </c>
      <c r="Q709">
        <v>0</v>
      </c>
      <c r="R709">
        <v>0</v>
      </c>
      <c r="S709">
        <v>0</v>
      </c>
      <c r="T709">
        <v>0</v>
      </c>
      <c r="U709">
        <v>0</v>
      </c>
      <c r="V709">
        <v>1</v>
      </c>
      <c r="W709" s="8">
        <v>0</v>
      </c>
      <c r="X709">
        <v>0</v>
      </c>
      <c r="Y709" s="8">
        <v>0</v>
      </c>
      <c r="Z709" s="8"/>
      <c r="AA709" s="8" t="s">
        <v>1052</v>
      </c>
      <c r="AB709" t="s">
        <v>1053</v>
      </c>
      <c r="AC709" s="8"/>
    </row>
    <row r="710" spans="1:32">
      <c r="A710">
        <v>2019</v>
      </c>
      <c r="B710" s="8">
        <v>201</v>
      </c>
      <c r="D710" t="s">
        <v>18</v>
      </c>
      <c r="E710" s="8" t="s">
        <v>209</v>
      </c>
      <c r="F710" t="s">
        <v>19</v>
      </c>
      <c r="G710" t="s">
        <v>37</v>
      </c>
      <c r="K710" t="s">
        <v>41</v>
      </c>
      <c r="L710" t="s">
        <v>37</v>
      </c>
      <c r="O710">
        <v>0</v>
      </c>
      <c r="P710">
        <v>1</v>
      </c>
      <c r="Q710">
        <v>1</v>
      </c>
      <c r="R710">
        <v>0</v>
      </c>
      <c r="S710">
        <v>0</v>
      </c>
      <c r="T710">
        <v>0</v>
      </c>
      <c r="U710">
        <v>0</v>
      </c>
      <c r="V710">
        <v>0</v>
      </c>
      <c r="W710">
        <v>0</v>
      </c>
      <c r="X710">
        <v>0</v>
      </c>
      <c r="Y710">
        <v>0</v>
      </c>
      <c r="Z710" s="8"/>
      <c r="AA710" t="s">
        <v>68</v>
      </c>
      <c r="AB710" t="s">
        <v>21</v>
      </c>
    </row>
    <row r="711" spans="1:32">
      <c r="A711" s="8">
        <v>2019</v>
      </c>
      <c r="B711" s="8">
        <v>202</v>
      </c>
      <c r="D711" s="8" t="s">
        <v>60</v>
      </c>
      <c r="F711" t="s">
        <v>61</v>
      </c>
      <c r="G711" s="8" t="s">
        <v>615</v>
      </c>
      <c r="H711" t="s">
        <v>620</v>
      </c>
      <c r="K711" s="8" t="s">
        <v>65</v>
      </c>
      <c r="L711" t="s">
        <v>615</v>
      </c>
      <c r="O711">
        <v>0</v>
      </c>
      <c r="P711">
        <v>0</v>
      </c>
      <c r="Q711">
        <v>0</v>
      </c>
      <c r="R711">
        <v>0</v>
      </c>
      <c r="S711">
        <v>0</v>
      </c>
      <c r="T711">
        <v>0</v>
      </c>
      <c r="U711">
        <v>0</v>
      </c>
      <c r="V711">
        <v>1</v>
      </c>
      <c r="W711" s="8">
        <v>0</v>
      </c>
      <c r="X711">
        <v>0</v>
      </c>
      <c r="Y711" s="8">
        <v>0</v>
      </c>
      <c r="Z711" s="8"/>
      <c r="AA711" t="s">
        <v>833</v>
      </c>
      <c r="AB711" t="s">
        <v>834</v>
      </c>
      <c r="AC711" t="s">
        <v>837</v>
      </c>
    </row>
    <row r="712" spans="1:32">
      <c r="A712" s="8">
        <v>2019</v>
      </c>
      <c r="B712" s="8">
        <v>203</v>
      </c>
      <c r="D712" s="8" t="s">
        <v>60</v>
      </c>
      <c r="F712" t="s">
        <v>61</v>
      </c>
      <c r="G712" s="8" t="s">
        <v>154</v>
      </c>
      <c r="H712" t="s">
        <v>187</v>
      </c>
      <c r="K712" s="8" t="s">
        <v>25</v>
      </c>
      <c r="L712" t="s">
        <v>154</v>
      </c>
      <c r="O712">
        <v>0</v>
      </c>
      <c r="P712">
        <v>0</v>
      </c>
      <c r="Q712">
        <v>0</v>
      </c>
      <c r="R712">
        <v>1</v>
      </c>
      <c r="S712">
        <v>1</v>
      </c>
      <c r="T712">
        <v>0</v>
      </c>
      <c r="U712">
        <v>0</v>
      </c>
      <c r="V712">
        <v>1</v>
      </c>
      <c r="W712" s="8">
        <v>0</v>
      </c>
      <c r="X712">
        <v>0</v>
      </c>
      <c r="Y712" s="8">
        <v>0</v>
      </c>
      <c r="Z712" s="8"/>
      <c r="AA712" s="8" t="s">
        <v>835</v>
      </c>
      <c r="AB712" t="s">
        <v>834</v>
      </c>
      <c r="AC712" t="s">
        <v>837</v>
      </c>
    </row>
    <row r="713" spans="1:32">
      <c r="A713" s="8">
        <v>2019</v>
      </c>
      <c r="B713" s="8">
        <v>203</v>
      </c>
      <c r="D713" s="8" t="s">
        <v>60</v>
      </c>
      <c r="F713" t="s">
        <v>61</v>
      </c>
      <c r="G713" s="8" t="s">
        <v>155</v>
      </c>
      <c r="H713" t="s">
        <v>188</v>
      </c>
      <c r="K713" s="8" t="s">
        <v>25</v>
      </c>
      <c r="L713" t="s">
        <v>154</v>
      </c>
      <c r="O713">
        <v>0</v>
      </c>
      <c r="P713">
        <v>0</v>
      </c>
      <c r="Q713">
        <v>0</v>
      </c>
      <c r="R713">
        <v>0</v>
      </c>
      <c r="S713">
        <v>1</v>
      </c>
      <c r="T713">
        <v>0</v>
      </c>
      <c r="U713">
        <v>0</v>
      </c>
      <c r="V713">
        <v>1</v>
      </c>
      <c r="W713" s="8">
        <v>0</v>
      </c>
      <c r="X713">
        <v>0</v>
      </c>
      <c r="Y713" s="8">
        <v>0</v>
      </c>
      <c r="Z713" s="8"/>
      <c r="AA713" s="8" t="s">
        <v>835</v>
      </c>
      <c r="AB713" t="s">
        <v>834</v>
      </c>
      <c r="AC713" t="s">
        <v>837</v>
      </c>
    </row>
    <row r="714" spans="1:32">
      <c r="A714" s="8">
        <v>2019</v>
      </c>
      <c r="B714" s="8">
        <v>203</v>
      </c>
      <c r="D714" s="8" t="s">
        <v>60</v>
      </c>
      <c r="F714" t="s">
        <v>61</v>
      </c>
      <c r="G714" s="8" t="s">
        <v>615</v>
      </c>
      <c r="H714" t="s">
        <v>620</v>
      </c>
      <c r="K714" s="8" t="s">
        <v>25</v>
      </c>
      <c r="L714" t="s">
        <v>154</v>
      </c>
      <c r="O714">
        <v>0</v>
      </c>
      <c r="P714">
        <v>0</v>
      </c>
      <c r="Q714">
        <v>0</v>
      </c>
      <c r="R714">
        <v>0</v>
      </c>
      <c r="S714">
        <v>1</v>
      </c>
      <c r="T714">
        <v>0</v>
      </c>
      <c r="U714">
        <v>0</v>
      </c>
      <c r="V714">
        <v>1</v>
      </c>
      <c r="W714" s="8">
        <v>0</v>
      </c>
      <c r="X714">
        <v>0</v>
      </c>
      <c r="Y714" s="8">
        <v>0</v>
      </c>
      <c r="Z714" s="8"/>
      <c r="AA714" s="8" t="s">
        <v>835</v>
      </c>
      <c r="AB714" t="s">
        <v>834</v>
      </c>
      <c r="AC714" t="s">
        <v>837</v>
      </c>
    </row>
    <row r="715" spans="1:32">
      <c r="A715" s="8">
        <v>2019</v>
      </c>
      <c r="B715" s="8">
        <v>204</v>
      </c>
      <c r="D715" s="8" t="s">
        <v>60</v>
      </c>
      <c r="F715" t="s">
        <v>61</v>
      </c>
      <c r="G715" s="8" t="s">
        <v>155</v>
      </c>
      <c r="H715" t="s">
        <v>188</v>
      </c>
      <c r="K715" s="8" t="s">
        <v>41</v>
      </c>
      <c r="L715" t="s">
        <v>202</v>
      </c>
      <c r="M715" t="s">
        <v>193</v>
      </c>
      <c r="O715">
        <v>1</v>
      </c>
      <c r="P715">
        <v>1</v>
      </c>
      <c r="Q715">
        <v>0</v>
      </c>
      <c r="R715">
        <v>1</v>
      </c>
      <c r="S715">
        <v>0</v>
      </c>
      <c r="T715">
        <v>0</v>
      </c>
      <c r="U715">
        <v>0</v>
      </c>
      <c r="V715">
        <v>1</v>
      </c>
      <c r="W715" s="8">
        <v>0</v>
      </c>
      <c r="X715">
        <v>0</v>
      </c>
      <c r="Y715" s="8">
        <v>0</v>
      </c>
      <c r="Z715" s="8"/>
      <c r="AA715" s="8" t="s">
        <v>836</v>
      </c>
      <c r="AB715" t="s">
        <v>834</v>
      </c>
      <c r="AC715" t="s">
        <v>837</v>
      </c>
      <c r="AE715" t="s">
        <v>839</v>
      </c>
      <c r="AF715" t="s">
        <v>834</v>
      </c>
    </row>
    <row r="716" spans="1:32">
      <c r="A716" s="8">
        <v>2019</v>
      </c>
      <c r="B716" s="8">
        <v>204</v>
      </c>
      <c r="D716" s="8" t="s">
        <v>60</v>
      </c>
      <c r="F716" t="s">
        <v>61</v>
      </c>
      <c r="G716" s="8" t="s">
        <v>615</v>
      </c>
      <c r="H716" t="s">
        <v>620</v>
      </c>
      <c r="K716" s="8" t="s">
        <v>41</v>
      </c>
      <c r="L716" t="s">
        <v>202</v>
      </c>
      <c r="M716" t="s">
        <v>193</v>
      </c>
      <c r="O716">
        <v>1</v>
      </c>
      <c r="P716">
        <v>1</v>
      </c>
      <c r="Q716">
        <v>0</v>
      </c>
      <c r="R716">
        <v>1</v>
      </c>
      <c r="S716">
        <v>0</v>
      </c>
      <c r="T716">
        <v>0</v>
      </c>
      <c r="U716">
        <v>0</v>
      </c>
      <c r="V716">
        <v>1</v>
      </c>
      <c r="W716" s="8">
        <v>0</v>
      </c>
      <c r="X716">
        <v>0</v>
      </c>
      <c r="Y716" s="8">
        <v>0</v>
      </c>
      <c r="Z716" s="8"/>
      <c r="AA716" s="8" t="s">
        <v>836</v>
      </c>
      <c r="AB716" t="s">
        <v>834</v>
      </c>
      <c r="AC716" t="s">
        <v>837</v>
      </c>
      <c r="AE716" t="s">
        <v>838</v>
      </c>
      <c r="AF716" t="s">
        <v>834</v>
      </c>
    </row>
    <row r="717" spans="1:32">
      <c r="A717" s="8">
        <v>2019</v>
      </c>
      <c r="B717" s="8">
        <v>204</v>
      </c>
      <c r="D717" s="8" t="s">
        <v>60</v>
      </c>
      <c r="F717" t="s">
        <v>61</v>
      </c>
      <c r="G717" s="8" t="s">
        <v>202</v>
      </c>
      <c r="H717" t="s">
        <v>205</v>
      </c>
      <c r="K717" s="8" t="s">
        <v>41</v>
      </c>
      <c r="L717" t="s">
        <v>202</v>
      </c>
      <c r="M717" t="s">
        <v>193</v>
      </c>
      <c r="O717">
        <v>1</v>
      </c>
      <c r="P717">
        <v>1</v>
      </c>
      <c r="Q717">
        <v>0</v>
      </c>
      <c r="R717">
        <v>1</v>
      </c>
      <c r="S717">
        <v>0</v>
      </c>
      <c r="T717">
        <v>0</v>
      </c>
      <c r="U717">
        <v>0</v>
      </c>
      <c r="V717">
        <v>0</v>
      </c>
      <c r="W717" s="8">
        <v>0</v>
      </c>
      <c r="X717">
        <v>0</v>
      </c>
      <c r="Y717" s="8">
        <v>0</v>
      </c>
      <c r="Z717" s="8"/>
      <c r="AA717" s="8" t="s">
        <v>836</v>
      </c>
      <c r="AB717" t="s">
        <v>834</v>
      </c>
    </row>
    <row r="718" spans="1:32">
      <c r="A718" s="8">
        <v>2019</v>
      </c>
      <c r="B718" s="8">
        <v>204</v>
      </c>
      <c r="D718" s="8" t="s">
        <v>60</v>
      </c>
      <c r="F718" t="s">
        <v>61</v>
      </c>
      <c r="G718" s="8" t="s">
        <v>193</v>
      </c>
      <c r="H718" t="s">
        <v>185</v>
      </c>
      <c r="K718" s="8" t="s">
        <v>41</v>
      </c>
      <c r="L718" t="s">
        <v>202</v>
      </c>
      <c r="M718" t="s">
        <v>193</v>
      </c>
      <c r="O718">
        <v>1</v>
      </c>
      <c r="P718">
        <v>1</v>
      </c>
      <c r="Q718">
        <v>0</v>
      </c>
      <c r="R718">
        <v>1</v>
      </c>
      <c r="S718">
        <v>0</v>
      </c>
      <c r="T718">
        <v>0</v>
      </c>
      <c r="U718">
        <v>0</v>
      </c>
      <c r="V718">
        <v>0</v>
      </c>
      <c r="W718" s="8">
        <v>0</v>
      </c>
      <c r="X718">
        <v>0</v>
      </c>
      <c r="Y718" s="8">
        <v>0</v>
      </c>
      <c r="Z718" s="8"/>
      <c r="AA718" s="8" t="s">
        <v>836</v>
      </c>
      <c r="AB718" t="s">
        <v>834</v>
      </c>
    </row>
    <row r="719" spans="1:32">
      <c r="A719" s="8">
        <v>2019</v>
      </c>
      <c r="B719" s="8">
        <v>205</v>
      </c>
      <c r="D719" s="8" t="s">
        <v>60</v>
      </c>
      <c r="E719" t="s">
        <v>209</v>
      </c>
      <c r="F719" t="s">
        <v>61</v>
      </c>
      <c r="G719" s="8" t="s">
        <v>615</v>
      </c>
      <c r="H719" t="s">
        <v>620</v>
      </c>
      <c r="I719" s="8" t="s">
        <v>18</v>
      </c>
      <c r="J719" t="s">
        <v>19</v>
      </c>
      <c r="K719" s="8" t="s">
        <v>65</v>
      </c>
      <c r="L719" t="s">
        <v>18</v>
      </c>
      <c r="O719">
        <v>0</v>
      </c>
      <c r="P719">
        <v>0</v>
      </c>
      <c r="Q719">
        <v>0</v>
      </c>
      <c r="R719">
        <v>0</v>
      </c>
      <c r="S719">
        <v>1</v>
      </c>
      <c r="T719">
        <v>0</v>
      </c>
      <c r="U719">
        <v>0</v>
      </c>
      <c r="V719">
        <v>1</v>
      </c>
      <c r="W719" s="8">
        <v>0</v>
      </c>
      <c r="X719">
        <v>0</v>
      </c>
      <c r="Y719" s="8">
        <v>0</v>
      </c>
      <c r="Z719" s="8" t="s">
        <v>226</v>
      </c>
      <c r="AA719" s="8" t="s">
        <v>840</v>
      </c>
      <c r="AB719" t="s">
        <v>834</v>
      </c>
      <c r="AC719" t="s">
        <v>1170</v>
      </c>
    </row>
    <row r="720" spans="1:32">
      <c r="A720" s="8">
        <v>2019</v>
      </c>
      <c r="B720" s="8">
        <v>205</v>
      </c>
      <c r="D720" s="8" t="s">
        <v>60</v>
      </c>
      <c r="E720" t="s">
        <v>209</v>
      </c>
      <c r="F720" t="s">
        <v>61</v>
      </c>
      <c r="G720" s="8" t="s">
        <v>18</v>
      </c>
      <c r="H720" t="s">
        <v>19</v>
      </c>
      <c r="I720" s="8" t="s">
        <v>18</v>
      </c>
      <c r="J720" t="s">
        <v>19</v>
      </c>
      <c r="K720" s="8" t="s">
        <v>65</v>
      </c>
      <c r="L720" t="s">
        <v>18</v>
      </c>
      <c r="O720">
        <v>0</v>
      </c>
      <c r="P720">
        <v>1</v>
      </c>
      <c r="Q720">
        <v>1</v>
      </c>
      <c r="R720">
        <v>0</v>
      </c>
      <c r="S720">
        <v>0</v>
      </c>
      <c r="T720">
        <v>0</v>
      </c>
      <c r="U720">
        <v>0</v>
      </c>
      <c r="V720">
        <v>0</v>
      </c>
      <c r="W720" s="8">
        <v>1</v>
      </c>
      <c r="X720" s="8">
        <v>1</v>
      </c>
      <c r="Y720">
        <v>0</v>
      </c>
      <c r="Z720" s="8" t="s">
        <v>226</v>
      </c>
      <c r="AA720" s="8" t="s">
        <v>534</v>
      </c>
      <c r="AB720" t="s">
        <v>21</v>
      </c>
    </row>
    <row r="721" spans="1:29">
      <c r="A721" s="8">
        <v>2019</v>
      </c>
      <c r="B721" s="8">
        <v>206</v>
      </c>
      <c r="D721" s="8" t="s">
        <v>60</v>
      </c>
      <c r="E721" t="s">
        <v>209</v>
      </c>
      <c r="F721" t="s">
        <v>61</v>
      </c>
      <c r="G721" s="8" t="s">
        <v>18</v>
      </c>
      <c r="H721" t="s">
        <v>19</v>
      </c>
      <c r="I721" s="8" t="s">
        <v>18</v>
      </c>
      <c r="J721" t="s">
        <v>19</v>
      </c>
      <c r="K721" s="8" t="s">
        <v>65</v>
      </c>
      <c r="L721" t="s">
        <v>18</v>
      </c>
      <c r="O721">
        <v>0</v>
      </c>
      <c r="P721">
        <v>1</v>
      </c>
      <c r="Q721">
        <v>1</v>
      </c>
      <c r="R721">
        <v>0</v>
      </c>
      <c r="S721">
        <v>0</v>
      </c>
      <c r="T721">
        <v>0</v>
      </c>
      <c r="U721">
        <v>0</v>
      </c>
      <c r="V721">
        <v>0</v>
      </c>
      <c r="W721" s="8">
        <v>1</v>
      </c>
      <c r="X721">
        <v>1</v>
      </c>
      <c r="Y721">
        <v>0</v>
      </c>
      <c r="Z721" s="8" t="s">
        <v>168</v>
      </c>
      <c r="AA721" s="8" t="s">
        <v>535</v>
      </c>
      <c r="AB721" t="s">
        <v>21</v>
      </c>
    </row>
    <row r="722" spans="1:29">
      <c r="A722" s="8">
        <v>2019</v>
      </c>
      <c r="B722" s="8">
        <v>207</v>
      </c>
      <c r="D722" s="8" t="s">
        <v>18</v>
      </c>
      <c r="F722" t="s">
        <v>19</v>
      </c>
      <c r="G722" s="8" t="s">
        <v>35</v>
      </c>
      <c r="I722" s="8" t="s">
        <v>22</v>
      </c>
      <c r="J722" t="s">
        <v>24</v>
      </c>
      <c r="K722" s="8" t="s">
        <v>25</v>
      </c>
      <c r="L722" t="s">
        <v>35</v>
      </c>
      <c r="O722">
        <v>0</v>
      </c>
      <c r="P722">
        <v>1</v>
      </c>
      <c r="Q722">
        <v>1</v>
      </c>
      <c r="R722">
        <v>0</v>
      </c>
      <c r="S722">
        <v>0</v>
      </c>
      <c r="T722">
        <v>0</v>
      </c>
      <c r="U722">
        <v>0</v>
      </c>
      <c r="V722">
        <v>0</v>
      </c>
      <c r="W722" s="11">
        <v>0</v>
      </c>
      <c r="X722">
        <v>0</v>
      </c>
      <c r="Y722">
        <v>0</v>
      </c>
      <c r="Z722" s="11"/>
      <c r="AA722" s="8" t="s">
        <v>536</v>
      </c>
      <c r="AB722" t="s">
        <v>21</v>
      </c>
    </row>
    <row r="723" spans="1:29">
      <c r="A723" s="8">
        <v>2019</v>
      </c>
      <c r="B723" s="8">
        <v>207</v>
      </c>
      <c r="D723" s="8" t="s">
        <v>18</v>
      </c>
      <c r="F723" t="s">
        <v>19</v>
      </c>
      <c r="G723" s="8" t="s">
        <v>152</v>
      </c>
      <c r="H723" t="s">
        <v>184</v>
      </c>
      <c r="I723" s="8" t="s">
        <v>22</v>
      </c>
      <c r="J723" t="s">
        <v>24</v>
      </c>
      <c r="K723" s="8" t="s">
        <v>25</v>
      </c>
      <c r="L723" t="s">
        <v>35</v>
      </c>
      <c r="O723">
        <v>0</v>
      </c>
      <c r="P723">
        <v>1</v>
      </c>
      <c r="Q723">
        <v>0</v>
      </c>
      <c r="R723">
        <v>0</v>
      </c>
      <c r="S723">
        <v>0</v>
      </c>
      <c r="T723">
        <v>0</v>
      </c>
      <c r="U723">
        <v>0</v>
      </c>
      <c r="V723">
        <v>0</v>
      </c>
      <c r="W723" s="11">
        <v>0</v>
      </c>
      <c r="X723">
        <v>0</v>
      </c>
      <c r="Y723">
        <v>0</v>
      </c>
      <c r="Z723" s="11"/>
      <c r="AA723" s="8" t="s">
        <v>536</v>
      </c>
      <c r="AB723" t="s">
        <v>21</v>
      </c>
    </row>
    <row r="724" spans="1:29">
      <c r="A724" s="8">
        <v>2019</v>
      </c>
      <c r="B724" s="8">
        <v>207</v>
      </c>
      <c r="D724" s="8" t="s">
        <v>18</v>
      </c>
      <c r="F724" t="s">
        <v>19</v>
      </c>
      <c r="G724" s="8" t="s">
        <v>22</v>
      </c>
      <c r="H724" t="s">
        <v>24</v>
      </c>
      <c r="I724" s="8" t="s">
        <v>22</v>
      </c>
      <c r="J724" t="s">
        <v>24</v>
      </c>
      <c r="K724" s="8" t="s">
        <v>25</v>
      </c>
      <c r="L724" t="s">
        <v>35</v>
      </c>
      <c r="O724">
        <v>0</v>
      </c>
      <c r="P724">
        <v>1</v>
      </c>
      <c r="Q724">
        <v>1</v>
      </c>
      <c r="R724">
        <v>0</v>
      </c>
      <c r="S724">
        <v>0</v>
      </c>
      <c r="T724">
        <v>0</v>
      </c>
      <c r="U724">
        <v>0</v>
      </c>
      <c r="V724">
        <v>0</v>
      </c>
      <c r="W724" s="11">
        <v>0</v>
      </c>
      <c r="X724">
        <v>0</v>
      </c>
      <c r="Y724">
        <v>0</v>
      </c>
      <c r="Z724" s="11"/>
      <c r="AA724" s="8" t="s">
        <v>536</v>
      </c>
      <c r="AB724" t="s">
        <v>21</v>
      </c>
    </row>
    <row r="725" spans="1:29">
      <c r="A725" s="8">
        <v>2019</v>
      </c>
      <c r="B725" s="8">
        <v>207</v>
      </c>
      <c r="D725" s="8" t="s">
        <v>18</v>
      </c>
      <c r="F725" t="s">
        <v>19</v>
      </c>
      <c r="G725" s="8" t="s">
        <v>191</v>
      </c>
      <c r="H725" t="s">
        <v>194</v>
      </c>
      <c r="I725" s="8" t="s">
        <v>22</v>
      </c>
      <c r="J725" t="s">
        <v>24</v>
      </c>
      <c r="K725" s="8" t="s">
        <v>25</v>
      </c>
      <c r="L725" t="s">
        <v>35</v>
      </c>
      <c r="O725">
        <v>0</v>
      </c>
      <c r="P725">
        <v>1</v>
      </c>
      <c r="Q725">
        <v>0</v>
      </c>
      <c r="R725">
        <v>0</v>
      </c>
      <c r="S725">
        <v>0</v>
      </c>
      <c r="T725">
        <v>0</v>
      </c>
      <c r="U725">
        <v>0</v>
      </c>
      <c r="V725">
        <v>0</v>
      </c>
      <c r="W725" s="11">
        <v>0</v>
      </c>
      <c r="X725">
        <v>0</v>
      </c>
      <c r="Y725">
        <v>0</v>
      </c>
      <c r="Z725" s="11"/>
      <c r="AA725" s="8" t="s">
        <v>536</v>
      </c>
      <c r="AB725" t="s">
        <v>21</v>
      </c>
    </row>
    <row r="726" spans="1:29">
      <c r="A726" s="8">
        <v>2019</v>
      </c>
      <c r="B726" s="8">
        <v>207</v>
      </c>
      <c r="D726" s="8" t="s">
        <v>18</v>
      </c>
      <c r="F726" t="s">
        <v>19</v>
      </c>
      <c r="G726" s="8" t="s">
        <v>192</v>
      </c>
      <c r="H726" t="s">
        <v>195</v>
      </c>
      <c r="I726" s="8" t="s">
        <v>22</v>
      </c>
      <c r="J726" t="s">
        <v>24</v>
      </c>
      <c r="K726" s="8" t="s">
        <v>25</v>
      </c>
      <c r="L726" t="s">
        <v>35</v>
      </c>
      <c r="O726">
        <v>0</v>
      </c>
      <c r="P726">
        <v>1</v>
      </c>
      <c r="Q726">
        <v>0</v>
      </c>
      <c r="R726">
        <v>0</v>
      </c>
      <c r="S726">
        <v>0</v>
      </c>
      <c r="T726">
        <v>0</v>
      </c>
      <c r="U726">
        <v>0</v>
      </c>
      <c r="V726">
        <v>0</v>
      </c>
      <c r="W726" s="11">
        <v>0</v>
      </c>
      <c r="X726">
        <v>0</v>
      </c>
      <c r="Y726">
        <v>0</v>
      </c>
      <c r="Z726" s="11"/>
      <c r="AA726" s="8" t="s">
        <v>536</v>
      </c>
      <c r="AB726" t="s">
        <v>21</v>
      </c>
    </row>
    <row r="727" spans="1:29">
      <c r="A727" s="8">
        <v>2019</v>
      </c>
      <c r="B727" s="8">
        <v>207</v>
      </c>
      <c r="D727" s="8" t="s">
        <v>18</v>
      </c>
      <c r="F727" t="s">
        <v>19</v>
      </c>
      <c r="G727" s="8" t="s">
        <v>60</v>
      </c>
      <c r="H727" t="s">
        <v>61</v>
      </c>
      <c r="I727" s="8" t="s">
        <v>22</v>
      </c>
      <c r="J727" t="s">
        <v>24</v>
      </c>
      <c r="K727" s="8" t="s">
        <v>25</v>
      </c>
      <c r="L727" t="s">
        <v>35</v>
      </c>
      <c r="O727">
        <v>0</v>
      </c>
      <c r="P727">
        <v>1</v>
      </c>
      <c r="Q727">
        <v>0</v>
      </c>
      <c r="R727">
        <v>0</v>
      </c>
      <c r="S727">
        <v>0</v>
      </c>
      <c r="T727">
        <v>0</v>
      </c>
      <c r="U727">
        <v>0</v>
      </c>
      <c r="V727">
        <v>0</v>
      </c>
      <c r="W727" s="11">
        <v>0</v>
      </c>
      <c r="X727">
        <v>0</v>
      </c>
      <c r="Y727">
        <v>0</v>
      </c>
      <c r="Z727" s="11"/>
      <c r="AA727" s="8" t="s">
        <v>536</v>
      </c>
      <c r="AB727" t="s">
        <v>21</v>
      </c>
    </row>
    <row r="728" spans="1:29">
      <c r="A728" s="8">
        <v>2019</v>
      </c>
      <c r="B728" s="8">
        <v>208</v>
      </c>
      <c r="D728" s="8" t="s">
        <v>18</v>
      </c>
      <c r="F728" t="s">
        <v>19</v>
      </c>
      <c r="G728" s="11" t="s">
        <v>192</v>
      </c>
      <c r="H728" t="s">
        <v>195</v>
      </c>
      <c r="I728" s="11"/>
      <c r="K728" s="8" t="s">
        <v>65</v>
      </c>
      <c r="L728" t="s">
        <v>192</v>
      </c>
      <c r="O728">
        <v>0</v>
      </c>
      <c r="P728">
        <v>1</v>
      </c>
      <c r="Q728">
        <v>0</v>
      </c>
      <c r="R728">
        <v>0</v>
      </c>
      <c r="S728">
        <v>0</v>
      </c>
      <c r="T728">
        <v>0</v>
      </c>
      <c r="U728">
        <v>0</v>
      </c>
      <c r="V728">
        <v>0</v>
      </c>
      <c r="W728" s="11">
        <v>0</v>
      </c>
      <c r="X728">
        <v>0</v>
      </c>
      <c r="Y728">
        <v>0</v>
      </c>
      <c r="Z728" s="11"/>
      <c r="AA728" s="8" t="s">
        <v>537</v>
      </c>
      <c r="AB728" t="s">
        <v>21</v>
      </c>
    </row>
    <row r="729" spans="1:29">
      <c r="A729" s="8">
        <v>2019</v>
      </c>
      <c r="B729" s="8">
        <v>208</v>
      </c>
      <c r="D729" s="8" t="s">
        <v>18</v>
      </c>
      <c r="F729" t="s">
        <v>19</v>
      </c>
      <c r="G729" s="11" t="s">
        <v>60</v>
      </c>
      <c r="H729" t="s">
        <v>61</v>
      </c>
      <c r="I729" s="11"/>
      <c r="K729" s="8" t="s">
        <v>65</v>
      </c>
      <c r="L729" t="s">
        <v>192</v>
      </c>
      <c r="O729">
        <v>0</v>
      </c>
      <c r="P729">
        <v>0</v>
      </c>
      <c r="Q729">
        <v>0</v>
      </c>
      <c r="R729">
        <v>0</v>
      </c>
      <c r="S729">
        <v>0</v>
      </c>
      <c r="T729">
        <v>0</v>
      </c>
      <c r="U729">
        <v>0</v>
      </c>
      <c r="V729">
        <v>1</v>
      </c>
      <c r="W729" s="11">
        <v>0</v>
      </c>
      <c r="X729">
        <v>0</v>
      </c>
      <c r="Y729">
        <v>0</v>
      </c>
      <c r="Z729" s="11"/>
      <c r="AA729" s="8" t="s">
        <v>537</v>
      </c>
      <c r="AB729" t="s">
        <v>21</v>
      </c>
      <c r="AC729" t="s">
        <v>538</v>
      </c>
    </row>
    <row r="730" spans="1:29">
      <c r="A730" s="8">
        <v>2019</v>
      </c>
      <c r="B730" s="8">
        <v>208</v>
      </c>
      <c r="D730" s="8" t="s">
        <v>18</v>
      </c>
      <c r="F730" t="s">
        <v>19</v>
      </c>
      <c r="G730" s="11" t="s">
        <v>152</v>
      </c>
      <c r="H730" t="s">
        <v>184</v>
      </c>
      <c r="I730" s="11"/>
      <c r="K730" s="8" t="s">
        <v>65</v>
      </c>
      <c r="L730" t="s">
        <v>192</v>
      </c>
      <c r="O730">
        <v>0</v>
      </c>
      <c r="P730">
        <v>0</v>
      </c>
      <c r="Q730">
        <v>0</v>
      </c>
      <c r="R730">
        <v>0</v>
      </c>
      <c r="S730">
        <v>0</v>
      </c>
      <c r="T730">
        <v>0</v>
      </c>
      <c r="U730">
        <v>0</v>
      </c>
      <c r="V730">
        <v>1</v>
      </c>
      <c r="W730" s="11">
        <v>0</v>
      </c>
      <c r="X730">
        <v>0</v>
      </c>
      <c r="Y730">
        <v>0</v>
      </c>
      <c r="Z730" s="11"/>
      <c r="AA730" s="8" t="s">
        <v>537</v>
      </c>
      <c r="AB730" t="s">
        <v>21</v>
      </c>
      <c r="AC730" t="s">
        <v>538</v>
      </c>
    </row>
    <row r="731" spans="1:29">
      <c r="A731" s="8">
        <v>2019</v>
      </c>
      <c r="B731" s="8">
        <v>209</v>
      </c>
      <c r="D731" s="8" t="s">
        <v>18</v>
      </c>
      <c r="F731" t="s">
        <v>19</v>
      </c>
      <c r="G731" s="8" t="s">
        <v>35</v>
      </c>
      <c r="I731" s="11"/>
      <c r="K731" s="8" t="s">
        <v>25</v>
      </c>
      <c r="L731" t="s">
        <v>35</v>
      </c>
      <c r="O731">
        <v>0</v>
      </c>
      <c r="P731">
        <v>1</v>
      </c>
      <c r="Q731">
        <v>1</v>
      </c>
      <c r="R731">
        <v>0</v>
      </c>
      <c r="S731">
        <v>0</v>
      </c>
      <c r="T731">
        <v>0</v>
      </c>
      <c r="U731">
        <v>0</v>
      </c>
      <c r="V731">
        <v>0</v>
      </c>
      <c r="W731" s="8">
        <v>0</v>
      </c>
      <c r="X731">
        <v>0</v>
      </c>
      <c r="Y731">
        <v>0</v>
      </c>
      <c r="AA731" s="8" t="s">
        <v>539</v>
      </c>
      <c r="AB731" t="s">
        <v>21</v>
      </c>
    </row>
    <row r="732" spans="1:29">
      <c r="A732" s="8">
        <v>2019</v>
      </c>
      <c r="B732" s="8">
        <v>209</v>
      </c>
      <c r="D732" s="8" t="s">
        <v>18</v>
      </c>
      <c r="F732" t="s">
        <v>19</v>
      </c>
      <c r="G732" s="8" t="s">
        <v>152</v>
      </c>
      <c r="H732" t="s">
        <v>184</v>
      </c>
      <c r="K732" s="8" t="s">
        <v>25</v>
      </c>
      <c r="L732" t="s">
        <v>35</v>
      </c>
      <c r="O732">
        <v>0</v>
      </c>
      <c r="P732">
        <v>0</v>
      </c>
      <c r="Q732">
        <v>0</v>
      </c>
      <c r="R732">
        <v>0</v>
      </c>
      <c r="S732">
        <v>0</v>
      </c>
      <c r="T732">
        <v>0</v>
      </c>
      <c r="U732">
        <v>0</v>
      </c>
      <c r="V732">
        <v>1</v>
      </c>
      <c r="W732" s="11">
        <v>0</v>
      </c>
      <c r="X732">
        <v>0</v>
      </c>
      <c r="Y732">
        <v>0</v>
      </c>
      <c r="AA732" s="8" t="s">
        <v>539</v>
      </c>
      <c r="AB732" t="s">
        <v>21</v>
      </c>
      <c r="AC732" t="s">
        <v>538</v>
      </c>
    </row>
    <row r="733" spans="1:29">
      <c r="A733" s="8">
        <v>2019</v>
      </c>
      <c r="B733" s="8">
        <v>209</v>
      </c>
      <c r="D733" s="8" t="s">
        <v>18</v>
      </c>
      <c r="F733" t="s">
        <v>19</v>
      </c>
      <c r="G733" s="8" t="s">
        <v>22</v>
      </c>
      <c r="H733" t="s">
        <v>24</v>
      </c>
      <c r="K733" s="8" t="s">
        <v>25</v>
      </c>
      <c r="L733" t="s">
        <v>35</v>
      </c>
      <c r="O733">
        <v>0</v>
      </c>
      <c r="P733">
        <v>0</v>
      </c>
      <c r="Q733">
        <v>0</v>
      </c>
      <c r="R733">
        <v>0</v>
      </c>
      <c r="S733">
        <v>0</v>
      </c>
      <c r="T733">
        <v>0</v>
      </c>
      <c r="U733">
        <v>0</v>
      </c>
      <c r="V733">
        <v>1</v>
      </c>
      <c r="W733" s="11">
        <v>0</v>
      </c>
      <c r="X733">
        <v>0</v>
      </c>
      <c r="Y733">
        <v>0</v>
      </c>
      <c r="AA733" s="8" t="s">
        <v>539</v>
      </c>
      <c r="AB733" t="s">
        <v>21</v>
      </c>
      <c r="AC733" t="s">
        <v>538</v>
      </c>
    </row>
    <row r="734" spans="1:29">
      <c r="A734" s="8">
        <v>2019</v>
      </c>
      <c r="B734" s="8">
        <v>209</v>
      </c>
      <c r="D734" s="8" t="s">
        <v>18</v>
      </c>
      <c r="F734" t="s">
        <v>19</v>
      </c>
      <c r="G734" s="8" t="s">
        <v>191</v>
      </c>
      <c r="H734" t="s">
        <v>194</v>
      </c>
      <c r="K734" s="8" t="s">
        <v>25</v>
      </c>
      <c r="L734" t="s">
        <v>35</v>
      </c>
      <c r="O734">
        <v>0</v>
      </c>
      <c r="P734">
        <v>0</v>
      </c>
      <c r="Q734">
        <v>0</v>
      </c>
      <c r="R734">
        <v>0</v>
      </c>
      <c r="S734">
        <v>0</v>
      </c>
      <c r="T734">
        <v>0</v>
      </c>
      <c r="U734">
        <v>0</v>
      </c>
      <c r="V734">
        <v>1</v>
      </c>
      <c r="W734" s="11">
        <v>0</v>
      </c>
      <c r="X734">
        <v>0</v>
      </c>
      <c r="Y734">
        <v>0</v>
      </c>
      <c r="AA734" s="8" t="s">
        <v>539</v>
      </c>
      <c r="AB734" t="s">
        <v>21</v>
      </c>
      <c r="AC734" t="s">
        <v>538</v>
      </c>
    </row>
    <row r="735" spans="1:29">
      <c r="A735" s="8">
        <v>2019</v>
      </c>
      <c r="B735" s="8">
        <v>209</v>
      </c>
      <c r="D735" s="8" t="s">
        <v>18</v>
      </c>
      <c r="F735" t="s">
        <v>19</v>
      </c>
      <c r="G735" s="8" t="s">
        <v>192</v>
      </c>
      <c r="H735" t="s">
        <v>195</v>
      </c>
      <c r="K735" s="8" t="s">
        <v>25</v>
      </c>
      <c r="L735" t="s">
        <v>35</v>
      </c>
      <c r="O735">
        <v>0</v>
      </c>
      <c r="P735">
        <v>0</v>
      </c>
      <c r="Q735">
        <v>0</v>
      </c>
      <c r="R735">
        <v>0</v>
      </c>
      <c r="S735">
        <v>0</v>
      </c>
      <c r="T735">
        <v>0</v>
      </c>
      <c r="U735">
        <v>0</v>
      </c>
      <c r="V735">
        <v>1</v>
      </c>
      <c r="W735" s="11">
        <v>0</v>
      </c>
      <c r="X735">
        <v>0</v>
      </c>
      <c r="Y735">
        <v>0</v>
      </c>
      <c r="AA735" s="8" t="s">
        <v>539</v>
      </c>
      <c r="AB735" t="s">
        <v>21</v>
      </c>
      <c r="AC735" t="s">
        <v>538</v>
      </c>
    </row>
    <row r="736" spans="1:29">
      <c r="A736" s="8">
        <v>2019</v>
      </c>
      <c r="B736" s="8">
        <v>209</v>
      </c>
      <c r="D736" s="8" t="s">
        <v>18</v>
      </c>
      <c r="F736" t="s">
        <v>19</v>
      </c>
      <c r="G736" s="8" t="s">
        <v>60</v>
      </c>
      <c r="H736" t="s">
        <v>61</v>
      </c>
      <c r="K736" s="8" t="s">
        <v>25</v>
      </c>
      <c r="L736" t="s">
        <v>35</v>
      </c>
      <c r="O736">
        <v>0</v>
      </c>
      <c r="P736">
        <v>0</v>
      </c>
      <c r="Q736">
        <v>0</v>
      </c>
      <c r="R736">
        <v>0</v>
      </c>
      <c r="S736">
        <v>0</v>
      </c>
      <c r="T736">
        <v>0</v>
      </c>
      <c r="U736">
        <v>0</v>
      </c>
      <c r="V736">
        <v>1</v>
      </c>
      <c r="W736" s="11">
        <v>0</v>
      </c>
      <c r="X736">
        <v>0</v>
      </c>
      <c r="Y736">
        <v>0</v>
      </c>
      <c r="AA736" s="8" t="s">
        <v>539</v>
      </c>
      <c r="AB736" t="s">
        <v>21</v>
      </c>
      <c r="AC736" t="s">
        <v>538</v>
      </c>
    </row>
    <row r="737" spans="1:30">
      <c r="A737" s="8">
        <v>2019</v>
      </c>
      <c r="B737" s="8">
        <v>210</v>
      </c>
      <c r="D737" s="8" t="s">
        <v>60</v>
      </c>
      <c r="E737" t="s">
        <v>209</v>
      </c>
      <c r="F737" t="s">
        <v>61</v>
      </c>
      <c r="G737" s="8" t="s">
        <v>18</v>
      </c>
      <c r="H737" t="s">
        <v>19</v>
      </c>
      <c r="I737" t="s">
        <v>18</v>
      </c>
      <c r="J737" t="s">
        <v>19</v>
      </c>
      <c r="K737" s="8" t="s">
        <v>65</v>
      </c>
      <c r="L737" t="s">
        <v>18</v>
      </c>
      <c r="O737">
        <v>0</v>
      </c>
      <c r="P737">
        <v>1</v>
      </c>
      <c r="Q737">
        <v>1</v>
      </c>
      <c r="R737">
        <v>0</v>
      </c>
      <c r="S737">
        <v>0</v>
      </c>
      <c r="T737">
        <v>0</v>
      </c>
      <c r="U737">
        <v>1</v>
      </c>
      <c r="V737">
        <v>0</v>
      </c>
      <c r="W737" s="11">
        <v>1</v>
      </c>
      <c r="X737">
        <v>1</v>
      </c>
      <c r="Y737">
        <v>0</v>
      </c>
      <c r="Z737" t="s">
        <v>540</v>
      </c>
      <c r="AA737" s="8" t="s">
        <v>544</v>
      </c>
      <c r="AB737" t="s">
        <v>541</v>
      </c>
    </row>
    <row r="738" spans="1:30">
      <c r="A738" s="8">
        <v>2019</v>
      </c>
      <c r="B738" s="8">
        <v>210</v>
      </c>
      <c r="D738" s="8" t="s">
        <v>60</v>
      </c>
      <c r="E738" t="s">
        <v>209</v>
      </c>
      <c r="F738" t="s">
        <v>61</v>
      </c>
      <c r="G738" s="8" t="s">
        <v>37</v>
      </c>
      <c r="I738" t="s">
        <v>18</v>
      </c>
      <c r="J738" t="s">
        <v>19</v>
      </c>
      <c r="K738" s="8" t="s">
        <v>65</v>
      </c>
      <c r="L738" t="s">
        <v>18</v>
      </c>
      <c r="O738">
        <v>0</v>
      </c>
      <c r="P738">
        <v>0</v>
      </c>
      <c r="Q738">
        <v>0</v>
      </c>
      <c r="R738">
        <v>0</v>
      </c>
      <c r="S738">
        <v>0</v>
      </c>
      <c r="T738">
        <v>0</v>
      </c>
      <c r="U738">
        <v>0</v>
      </c>
      <c r="V738">
        <v>1</v>
      </c>
      <c r="W738" s="11">
        <v>1</v>
      </c>
      <c r="X738">
        <v>1</v>
      </c>
      <c r="Y738">
        <v>0</v>
      </c>
      <c r="Z738" t="s">
        <v>540</v>
      </c>
      <c r="AA738" s="8" t="s">
        <v>542</v>
      </c>
      <c r="AB738" t="s">
        <v>543</v>
      </c>
    </row>
    <row r="739" spans="1:30">
      <c r="A739" s="8">
        <v>2019</v>
      </c>
      <c r="B739" s="8">
        <v>211</v>
      </c>
      <c r="D739" s="8" t="s">
        <v>18</v>
      </c>
      <c r="F739" t="s">
        <v>19</v>
      </c>
      <c r="G739" t="s">
        <v>965</v>
      </c>
      <c r="I739" t="s">
        <v>204</v>
      </c>
      <c r="J739" t="s">
        <v>207</v>
      </c>
      <c r="K739" s="8" t="s">
        <v>201</v>
      </c>
      <c r="L739" s="12" t="s">
        <v>965</v>
      </c>
      <c r="M739" s="12"/>
      <c r="N739" s="12"/>
      <c r="O739">
        <v>1</v>
      </c>
      <c r="P739">
        <v>1</v>
      </c>
      <c r="Q739">
        <v>0</v>
      </c>
      <c r="R739">
        <v>0</v>
      </c>
      <c r="S739">
        <v>0</v>
      </c>
      <c r="T739">
        <v>0</v>
      </c>
      <c r="U739">
        <v>0</v>
      </c>
      <c r="V739">
        <v>0</v>
      </c>
      <c r="W739" s="11">
        <v>0</v>
      </c>
      <c r="X739">
        <v>0</v>
      </c>
      <c r="Y739">
        <v>0</v>
      </c>
      <c r="AA739" s="8" t="s">
        <v>559</v>
      </c>
      <c r="AB739" t="s">
        <v>557</v>
      </c>
      <c r="AD739" t="s">
        <v>556</v>
      </c>
    </row>
    <row r="740" spans="1:30">
      <c r="A740" s="8">
        <v>2019</v>
      </c>
      <c r="B740" s="8">
        <v>212</v>
      </c>
      <c r="D740" s="8" t="s">
        <v>18</v>
      </c>
      <c r="F740" t="s">
        <v>19</v>
      </c>
      <c r="G740" s="8" t="s">
        <v>202</v>
      </c>
      <c r="H740" t="s">
        <v>205</v>
      </c>
      <c r="K740" s="8" t="s">
        <v>41</v>
      </c>
      <c r="L740" s="12" t="s">
        <v>871</v>
      </c>
      <c r="M740" s="12"/>
      <c r="N740" s="12"/>
      <c r="O740">
        <v>0</v>
      </c>
      <c r="P740">
        <v>0</v>
      </c>
      <c r="Q740">
        <v>0</v>
      </c>
      <c r="R740">
        <v>0</v>
      </c>
      <c r="S740">
        <v>1</v>
      </c>
      <c r="T740">
        <v>0</v>
      </c>
      <c r="U740">
        <v>0</v>
      </c>
      <c r="V740">
        <v>0</v>
      </c>
      <c r="W740" s="11">
        <v>0</v>
      </c>
      <c r="X740">
        <v>0</v>
      </c>
      <c r="Y740">
        <v>0</v>
      </c>
      <c r="AA740" s="8" t="s">
        <v>872</v>
      </c>
      <c r="AB740" t="s">
        <v>873</v>
      </c>
    </row>
    <row r="741" spans="1:30">
      <c r="A741" s="8">
        <v>2019</v>
      </c>
      <c r="B741" s="8">
        <v>212</v>
      </c>
      <c r="D741" s="8" t="s">
        <v>18</v>
      </c>
      <c r="F741" t="s">
        <v>19</v>
      </c>
      <c r="G741" s="8" t="s">
        <v>193</v>
      </c>
      <c r="H741" t="s">
        <v>185</v>
      </c>
      <c r="K741" s="8" t="s">
        <v>41</v>
      </c>
      <c r="L741" s="12" t="s">
        <v>871</v>
      </c>
      <c r="M741" s="12"/>
      <c r="N741" s="12"/>
      <c r="O741">
        <v>0</v>
      </c>
      <c r="P741">
        <v>0</v>
      </c>
      <c r="Q741">
        <v>0</v>
      </c>
      <c r="R741">
        <v>0</v>
      </c>
      <c r="S741">
        <v>1</v>
      </c>
      <c r="T741">
        <v>0</v>
      </c>
      <c r="U741">
        <v>0</v>
      </c>
      <c r="V741">
        <v>0</v>
      </c>
      <c r="W741" s="11">
        <v>0</v>
      </c>
      <c r="X741">
        <v>0</v>
      </c>
      <c r="Y741">
        <v>0</v>
      </c>
      <c r="AA741" s="8" t="s">
        <v>872</v>
      </c>
      <c r="AB741" t="s">
        <v>873</v>
      </c>
    </row>
    <row r="742" spans="1:30">
      <c r="A742" s="8">
        <v>2019</v>
      </c>
      <c r="B742" s="8">
        <v>212</v>
      </c>
      <c r="D742" s="8" t="s">
        <v>18</v>
      </c>
      <c r="F742" t="s">
        <v>19</v>
      </c>
      <c r="G742" s="8" t="s">
        <v>203</v>
      </c>
      <c r="H742" t="s">
        <v>206</v>
      </c>
      <c r="K742" s="8" t="s">
        <v>41</v>
      </c>
      <c r="L742" s="12" t="s">
        <v>871</v>
      </c>
      <c r="M742" s="12"/>
      <c r="N742" s="12"/>
      <c r="O742">
        <v>0</v>
      </c>
      <c r="P742">
        <v>0</v>
      </c>
      <c r="Q742">
        <v>0</v>
      </c>
      <c r="R742">
        <v>0</v>
      </c>
      <c r="S742">
        <v>1</v>
      </c>
      <c r="T742">
        <v>0</v>
      </c>
      <c r="U742">
        <v>0</v>
      </c>
      <c r="V742">
        <v>0</v>
      </c>
      <c r="W742" s="11">
        <v>0</v>
      </c>
      <c r="X742">
        <v>0</v>
      </c>
      <c r="Y742">
        <v>0</v>
      </c>
      <c r="AA742" s="8" t="s">
        <v>872</v>
      </c>
      <c r="AB742" t="s">
        <v>873</v>
      </c>
    </row>
    <row r="743" spans="1:30">
      <c r="A743" s="8">
        <v>2020</v>
      </c>
      <c r="B743" s="8">
        <v>213</v>
      </c>
      <c r="D743" s="8" t="s">
        <v>60</v>
      </c>
      <c r="E743" t="s">
        <v>209</v>
      </c>
      <c r="F743" t="s">
        <v>61</v>
      </c>
      <c r="G743" s="8" t="s">
        <v>37</v>
      </c>
      <c r="K743" s="8" t="s">
        <v>41</v>
      </c>
      <c r="L743" t="s">
        <v>37</v>
      </c>
      <c r="O743">
        <v>0</v>
      </c>
      <c r="P743">
        <v>0</v>
      </c>
      <c r="Q743">
        <v>0</v>
      </c>
      <c r="R743">
        <v>0</v>
      </c>
      <c r="S743">
        <v>0</v>
      </c>
      <c r="T743">
        <v>1</v>
      </c>
      <c r="U743">
        <v>0</v>
      </c>
      <c r="V743">
        <v>0</v>
      </c>
      <c r="W743" s="11">
        <v>0</v>
      </c>
      <c r="X743">
        <v>0</v>
      </c>
      <c r="Y743">
        <v>0</v>
      </c>
      <c r="AA743" s="8" t="s">
        <v>545</v>
      </c>
      <c r="AB743" t="s">
        <v>546</v>
      </c>
    </row>
    <row r="744" spans="1:30">
      <c r="A744" s="8">
        <v>2020</v>
      </c>
      <c r="B744" s="8">
        <v>214</v>
      </c>
      <c r="D744" s="8" t="s">
        <v>60</v>
      </c>
      <c r="E744" t="s">
        <v>209</v>
      </c>
      <c r="F744" t="s">
        <v>61</v>
      </c>
      <c r="G744" s="8" t="s">
        <v>547</v>
      </c>
      <c r="I744" t="s">
        <v>60</v>
      </c>
      <c r="J744" t="s">
        <v>61</v>
      </c>
      <c r="K744" s="8" t="s">
        <v>201</v>
      </c>
      <c r="L744" t="s">
        <v>547</v>
      </c>
      <c r="O744">
        <v>0</v>
      </c>
      <c r="P744">
        <v>1</v>
      </c>
      <c r="Q744">
        <v>0</v>
      </c>
      <c r="R744">
        <v>0</v>
      </c>
      <c r="S744">
        <v>0</v>
      </c>
      <c r="T744">
        <v>1</v>
      </c>
      <c r="U744">
        <v>0</v>
      </c>
      <c r="V744">
        <v>0</v>
      </c>
      <c r="W744" s="11">
        <v>0</v>
      </c>
      <c r="X744">
        <v>0</v>
      </c>
      <c r="Y744">
        <v>0</v>
      </c>
      <c r="AA744" s="8" t="s">
        <v>548</v>
      </c>
      <c r="AB744" t="s">
        <v>549</v>
      </c>
    </row>
    <row r="745" spans="1:30">
      <c r="A745" s="8">
        <v>2020</v>
      </c>
      <c r="B745" s="8">
        <v>215</v>
      </c>
      <c r="D745" s="8" t="s">
        <v>60</v>
      </c>
      <c r="E745" t="s">
        <v>253</v>
      </c>
      <c r="F745" t="s">
        <v>61</v>
      </c>
      <c r="G745" s="8" t="s">
        <v>37</v>
      </c>
      <c r="I745" t="s">
        <v>60</v>
      </c>
      <c r="J745" t="s">
        <v>61</v>
      </c>
      <c r="K745" s="8" t="s">
        <v>41</v>
      </c>
      <c r="L745" t="s">
        <v>37</v>
      </c>
      <c r="O745">
        <v>1</v>
      </c>
      <c r="P745">
        <v>1</v>
      </c>
      <c r="Q745">
        <v>0</v>
      </c>
      <c r="R745">
        <v>0</v>
      </c>
      <c r="S745">
        <v>0</v>
      </c>
      <c r="T745">
        <v>1</v>
      </c>
      <c r="U745">
        <v>0</v>
      </c>
      <c r="V745">
        <v>0</v>
      </c>
      <c r="W745" s="11">
        <v>0</v>
      </c>
      <c r="X745">
        <v>0</v>
      </c>
      <c r="Y745">
        <v>0</v>
      </c>
      <c r="AA745" s="8" t="s">
        <v>550</v>
      </c>
      <c r="AB745" t="s">
        <v>551</v>
      </c>
    </row>
    <row r="746" spans="1:30">
      <c r="A746" s="8">
        <v>2020</v>
      </c>
      <c r="B746" s="8">
        <v>216</v>
      </c>
      <c r="D746" s="8" t="s">
        <v>60</v>
      </c>
      <c r="E746" t="s">
        <v>552</v>
      </c>
      <c r="F746" t="s">
        <v>61</v>
      </c>
      <c r="G746" s="8" t="s">
        <v>37</v>
      </c>
      <c r="I746" t="s">
        <v>60</v>
      </c>
      <c r="J746" t="s">
        <v>61</v>
      </c>
      <c r="K746" s="8" t="s">
        <v>41</v>
      </c>
      <c r="L746" t="s">
        <v>37</v>
      </c>
      <c r="O746">
        <v>1</v>
      </c>
      <c r="P746">
        <v>0</v>
      </c>
      <c r="Q746">
        <v>0</v>
      </c>
      <c r="R746">
        <v>0</v>
      </c>
      <c r="S746">
        <v>0</v>
      </c>
      <c r="T746">
        <v>1</v>
      </c>
      <c r="U746">
        <v>0</v>
      </c>
      <c r="V746">
        <v>1</v>
      </c>
      <c r="W746" s="11">
        <v>0</v>
      </c>
      <c r="X746">
        <v>0</v>
      </c>
      <c r="Y746">
        <v>0</v>
      </c>
      <c r="AA746" t="s">
        <v>553</v>
      </c>
      <c r="AB746" t="s">
        <v>554</v>
      </c>
      <c r="AC746" t="s">
        <v>555</v>
      </c>
    </row>
    <row r="747" spans="1:30">
      <c r="A747" s="8">
        <v>2020</v>
      </c>
      <c r="B747" s="8">
        <v>217</v>
      </c>
      <c r="D747" s="8" t="s">
        <v>18</v>
      </c>
      <c r="F747" t="s">
        <v>19</v>
      </c>
      <c r="G747" t="s">
        <v>965</v>
      </c>
      <c r="I747" t="s">
        <v>18</v>
      </c>
      <c r="J747" t="s">
        <v>19</v>
      </c>
      <c r="K747" s="8" t="s">
        <v>201</v>
      </c>
      <c r="L747" t="s">
        <v>965</v>
      </c>
      <c r="O747">
        <v>1</v>
      </c>
      <c r="P747">
        <v>1</v>
      </c>
      <c r="Q747">
        <v>1</v>
      </c>
      <c r="R747">
        <v>0</v>
      </c>
      <c r="S747">
        <v>0</v>
      </c>
      <c r="T747">
        <v>0</v>
      </c>
      <c r="U747">
        <v>0</v>
      </c>
      <c r="V747">
        <v>0</v>
      </c>
      <c r="W747" s="11">
        <v>0</v>
      </c>
      <c r="X747">
        <v>0</v>
      </c>
      <c r="Y747">
        <v>0</v>
      </c>
      <c r="AA747" t="s">
        <v>558</v>
      </c>
      <c r="AB747" t="s">
        <v>557</v>
      </c>
    </row>
    <row r="748" spans="1:30">
      <c r="A748" s="8">
        <v>2020</v>
      </c>
      <c r="B748" s="8">
        <v>218</v>
      </c>
      <c r="D748" s="8" t="s">
        <v>60</v>
      </c>
      <c r="E748" t="s">
        <v>209</v>
      </c>
      <c r="F748" t="s">
        <v>61</v>
      </c>
      <c r="G748" s="8" t="s">
        <v>37</v>
      </c>
      <c r="I748" t="s">
        <v>60</v>
      </c>
      <c r="J748" t="s">
        <v>61</v>
      </c>
      <c r="K748" s="8" t="s">
        <v>41</v>
      </c>
      <c r="L748" t="s">
        <v>37</v>
      </c>
      <c r="O748">
        <v>0</v>
      </c>
      <c r="P748">
        <v>0</v>
      </c>
      <c r="Q748">
        <v>0</v>
      </c>
      <c r="R748">
        <v>0</v>
      </c>
      <c r="S748">
        <v>0</v>
      </c>
      <c r="T748">
        <v>0</v>
      </c>
      <c r="U748">
        <v>0</v>
      </c>
      <c r="V748">
        <v>1</v>
      </c>
      <c r="W748" s="11">
        <v>0</v>
      </c>
      <c r="X748">
        <v>0</v>
      </c>
      <c r="Y748">
        <v>0</v>
      </c>
      <c r="AA748" s="8" t="s">
        <v>560</v>
      </c>
      <c r="AB748" t="s">
        <v>561</v>
      </c>
    </row>
    <row r="749" spans="1:30">
      <c r="A749" s="8">
        <v>2020</v>
      </c>
      <c r="B749" s="8">
        <v>219</v>
      </c>
      <c r="D749" s="8" t="s">
        <v>60</v>
      </c>
      <c r="F749" t="s">
        <v>61</v>
      </c>
      <c r="G749" s="8" t="s">
        <v>1025</v>
      </c>
      <c r="H749" t="s">
        <v>562</v>
      </c>
      <c r="I749" t="s">
        <v>563</v>
      </c>
      <c r="J749" t="s">
        <v>564</v>
      </c>
      <c r="K749" s="8" t="s">
        <v>65</v>
      </c>
      <c r="L749" t="s">
        <v>852</v>
      </c>
      <c r="O749">
        <v>0</v>
      </c>
      <c r="P749">
        <v>0</v>
      </c>
      <c r="Q749">
        <v>0</v>
      </c>
      <c r="R749">
        <v>0</v>
      </c>
      <c r="S749">
        <v>0</v>
      </c>
      <c r="T749">
        <v>1</v>
      </c>
      <c r="U749">
        <v>0</v>
      </c>
      <c r="V749">
        <v>1</v>
      </c>
      <c r="W749" s="11">
        <v>0</v>
      </c>
      <c r="X749">
        <v>0</v>
      </c>
      <c r="Y749">
        <v>0</v>
      </c>
      <c r="AA749" s="8" t="s">
        <v>565</v>
      </c>
      <c r="AB749" t="s">
        <v>566</v>
      </c>
    </row>
    <row r="750" spans="1:30">
      <c r="A750" s="8">
        <v>2020</v>
      </c>
      <c r="B750" s="8">
        <v>220</v>
      </c>
      <c r="D750" s="8" t="s">
        <v>60</v>
      </c>
      <c r="F750" t="s">
        <v>61</v>
      </c>
      <c r="G750" s="8" t="s">
        <v>202</v>
      </c>
      <c r="H750" t="s">
        <v>205</v>
      </c>
      <c r="I750" t="s">
        <v>202</v>
      </c>
      <c r="J750" t="s">
        <v>205</v>
      </c>
      <c r="K750" s="8" t="s">
        <v>41</v>
      </c>
      <c r="L750" s="12" t="s">
        <v>202</v>
      </c>
      <c r="M750" t="s">
        <v>37</v>
      </c>
      <c r="N750" t="s">
        <v>567</v>
      </c>
      <c r="O750">
        <v>0</v>
      </c>
      <c r="P750">
        <v>0</v>
      </c>
      <c r="Q750">
        <v>0</v>
      </c>
      <c r="R750">
        <v>1</v>
      </c>
      <c r="S750">
        <v>0</v>
      </c>
      <c r="T750">
        <v>1</v>
      </c>
      <c r="U750">
        <v>0</v>
      </c>
      <c r="V750">
        <v>0</v>
      </c>
      <c r="W750" s="11">
        <v>0</v>
      </c>
      <c r="X750">
        <v>0</v>
      </c>
      <c r="Y750">
        <v>0</v>
      </c>
      <c r="AA750" t="s">
        <v>569</v>
      </c>
      <c r="AB750" t="s">
        <v>570</v>
      </c>
    </row>
    <row r="751" spans="1:30">
      <c r="A751" s="8">
        <v>2020</v>
      </c>
      <c r="B751" s="8">
        <v>220</v>
      </c>
      <c r="D751" s="8" t="s">
        <v>60</v>
      </c>
      <c r="F751" t="s">
        <v>61</v>
      </c>
      <c r="G751" s="8" t="s">
        <v>567</v>
      </c>
      <c r="H751" t="s">
        <v>568</v>
      </c>
      <c r="I751" t="s">
        <v>202</v>
      </c>
      <c r="J751" t="s">
        <v>205</v>
      </c>
      <c r="K751" s="8" t="s">
        <v>41</v>
      </c>
      <c r="L751" s="12" t="s">
        <v>202</v>
      </c>
      <c r="M751" t="s">
        <v>37</v>
      </c>
      <c r="N751" t="s">
        <v>567</v>
      </c>
      <c r="O751">
        <v>0</v>
      </c>
      <c r="P751">
        <v>0</v>
      </c>
      <c r="Q751">
        <v>0</v>
      </c>
      <c r="R751">
        <v>1</v>
      </c>
      <c r="S751">
        <v>0</v>
      </c>
      <c r="T751">
        <v>1</v>
      </c>
      <c r="U751">
        <v>0</v>
      </c>
      <c r="V751">
        <v>0</v>
      </c>
      <c r="W751" s="11">
        <v>0</v>
      </c>
      <c r="X751">
        <v>0</v>
      </c>
      <c r="Y751">
        <v>0</v>
      </c>
      <c r="AA751" t="s">
        <v>569</v>
      </c>
      <c r="AB751" t="s">
        <v>570</v>
      </c>
    </row>
    <row r="752" spans="1:30">
      <c r="A752" s="8">
        <v>2020</v>
      </c>
      <c r="B752" s="8">
        <v>220</v>
      </c>
      <c r="D752" s="8" t="s">
        <v>60</v>
      </c>
      <c r="F752" t="s">
        <v>61</v>
      </c>
      <c r="G752" s="8" t="s">
        <v>37</v>
      </c>
      <c r="I752" t="s">
        <v>202</v>
      </c>
      <c r="J752" t="s">
        <v>205</v>
      </c>
      <c r="K752" s="8" t="s">
        <v>41</v>
      </c>
      <c r="L752" s="12" t="s">
        <v>202</v>
      </c>
      <c r="M752" t="s">
        <v>37</v>
      </c>
      <c r="N752" t="s">
        <v>567</v>
      </c>
      <c r="O752">
        <v>0</v>
      </c>
      <c r="P752">
        <v>0</v>
      </c>
      <c r="Q752">
        <v>0</v>
      </c>
      <c r="R752">
        <v>1</v>
      </c>
      <c r="S752">
        <v>0</v>
      </c>
      <c r="T752">
        <v>1</v>
      </c>
      <c r="U752">
        <v>0</v>
      </c>
      <c r="V752">
        <v>0</v>
      </c>
      <c r="W752" s="11">
        <v>0</v>
      </c>
      <c r="X752">
        <v>0</v>
      </c>
      <c r="Y752">
        <v>0</v>
      </c>
      <c r="AA752" t="s">
        <v>569</v>
      </c>
      <c r="AB752" t="s">
        <v>570</v>
      </c>
    </row>
    <row r="753" spans="1:36">
      <c r="A753" s="8">
        <v>2020</v>
      </c>
      <c r="B753" s="8">
        <v>220</v>
      </c>
      <c r="D753" s="8" t="s">
        <v>60</v>
      </c>
      <c r="F753" t="s">
        <v>61</v>
      </c>
      <c r="G753" s="8" t="s">
        <v>155</v>
      </c>
      <c r="H753" t="s">
        <v>188</v>
      </c>
      <c r="I753" t="s">
        <v>202</v>
      </c>
      <c r="J753" t="s">
        <v>205</v>
      </c>
      <c r="K753" s="8" t="s">
        <v>41</v>
      </c>
      <c r="L753" s="12" t="s">
        <v>202</v>
      </c>
      <c r="M753" t="s">
        <v>37</v>
      </c>
      <c r="N753" t="s">
        <v>567</v>
      </c>
      <c r="O753">
        <v>0</v>
      </c>
      <c r="P753">
        <v>0</v>
      </c>
      <c r="Q753">
        <v>0</v>
      </c>
      <c r="R753">
        <v>1</v>
      </c>
      <c r="S753">
        <v>0</v>
      </c>
      <c r="T753">
        <v>1</v>
      </c>
      <c r="U753">
        <v>0</v>
      </c>
      <c r="V753">
        <v>1</v>
      </c>
      <c r="W753" s="11">
        <v>0</v>
      </c>
      <c r="X753">
        <v>0</v>
      </c>
      <c r="Y753">
        <v>0</v>
      </c>
      <c r="AA753" t="s">
        <v>577</v>
      </c>
      <c r="AB753" t="s">
        <v>578</v>
      </c>
      <c r="AC753" t="s">
        <v>579</v>
      </c>
    </row>
    <row r="754" spans="1:36">
      <c r="A754" s="8">
        <v>2020</v>
      </c>
      <c r="B754" s="8">
        <v>221</v>
      </c>
      <c r="D754" s="8" t="s">
        <v>60</v>
      </c>
      <c r="E754" t="s">
        <v>209</v>
      </c>
      <c r="F754" t="s">
        <v>61</v>
      </c>
      <c r="G754" s="8" t="s">
        <v>37</v>
      </c>
      <c r="K754" s="8" t="s">
        <v>41</v>
      </c>
      <c r="L754" t="s">
        <v>37</v>
      </c>
      <c r="O754">
        <v>0</v>
      </c>
      <c r="P754">
        <v>0</v>
      </c>
      <c r="Q754">
        <v>0</v>
      </c>
      <c r="R754">
        <v>0</v>
      </c>
      <c r="S754">
        <v>0</v>
      </c>
      <c r="T754">
        <v>1</v>
      </c>
      <c r="U754">
        <v>0</v>
      </c>
      <c r="V754">
        <v>1</v>
      </c>
      <c r="W754" s="11">
        <v>0</v>
      </c>
      <c r="X754">
        <v>0</v>
      </c>
      <c r="Y754">
        <v>0</v>
      </c>
      <c r="AA754" t="s">
        <v>572</v>
      </c>
      <c r="AB754" t="s">
        <v>573</v>
      </c>
      <c r="AC754" t="s">
        <v>571</v>
      </c>
    </row>
    <row r="755" spans="1:36">
      <c r="A755" s="8">
        <v>2020</v>
      </c>
      <c r="B755" s="8">
        <v>222</v>
      </c>
      <c r="D755" s="8" t="s">
        <v>60</v>
      </c>
      <c r="F755" t="s">
        <v>61</v>
      </c>
      <c r="G755" s="8" t="s">
        <v>157</v>
      </c>
      <c r="H755" t="s">
        <v>190</v>
      </c>
      <c r="K755" s="8" t="s">
        <v>65</v>
      </c>
      <c r="L755" t="s">
        <v>157</v>
      </c>
      <c r="O755">
        <v>0</v>
      </c>
      <c r="P755">
        <v>0</v>
      </c>
      <c r="Q755">
        <v>0</v>
      </c>
      <c r="R755">
        <v>0</v>
      </c>
      <c r="S755">
        <v>0</v>
      </c>
      <c r="T755">
        <v>1</v>
      </c>
      <c r="U755">
        <v>0</v>
      </c>
      <c r="V755">
        <v>1</v>
      </c>
      <c r="W755" s="11">
        <v>0</v>
      </c>
      <c r="X755">
        <v>0</v>
      </c>
      <c r="Y755">
        <v>0</v>
      </c>
      <c r="AA755" t="s">
        <v>574</v>
      </c>
      <c r="AB755" t="s">
        <v>575</v>
      </c>
      <c r="AC755" t="s">
        <v>576</v>
      </c>
      <c r="AE755" t="s">
        <v>580</v>
      </c>
      <c r="AF755" t="s">
        <v>581</v>
      </c>
    </row>
    <row r="756" spans="1:36">
      <c r="A756" s="8">
        <v>2020</v>
      </c>
      <c r="B756" s="8">
        <v>223</v>
      </c>
      <c r="D756" s="8" t="s">
        <v>60</v>
      </c>
      <c r="F756" t="s">
        <v>61</v>
      </c>
      <c r="G756" s="8" t="s">
        <v>331</v>
      </c>
      <c r="H756" t="s">
        <v>339</v>
      </c>
      <c r="K756" s="8" t="s">
        <v>65</v>
      </c>
      <c r="L756" t="s">
        <v>331</v>
      </c>
      <c r="O756">
        <v>0</v>
      </c>
      <c r="P756">
        <v>0</v>
      </c>
      <c r="Q756">
        <v>0</v>
      </c>
      <c r="R756">
        <v>0</v>
      </c>
      <c r="S756">
        <v>0</v>
      </c>
      <c r="T756">
        <v>1</v>
      </c>
      <c r="U756">
        <v>0</v>
      </c>
      <c r="V756">
        <v>1</v>
      </c>
      <c r="W756" s="11">
        <v>0</v>
      </c>
      <c r="X756">
        <v>0</v>
      </c>
      <c r="Y756">
        <v>0</v>
      </c>
      <c r="AA756" t="s">
        <v>582</v>
      </c>
      <c r="AB756" t="s">
        <v>583</v>
      </c>
      <c r="AC756" t="s">
        <v>584</v>
      </c>
    </row>
    <row r="757" spans="1:36">
      <c r="A757" s="8">
        <v>2020</v>
      </c>
      <c r="B757" s="8">
        <v>224</v>
      </c>
      <c r="D757" s="8" t="s">
        <v>60</v>
      </c>
      <c r="F757" t="s">
        <v>61</v>
      </c>
      <c r="G757" s="8" t="s">
        <v>547</v>
      </c>
      <c r="I757" t="s">
        <v>60</v>
      </c>
      <c r="J757" t="s">
        <v>61</v>
      </c>
      <c r="K757" s="8" t="s">
        <v>201</v>
      </c>
      <c r="L757" t="s">
        <v>547</v>
      </c>
      <c r="O757">
        <v>0</v>
      </c>
      <c r="P757">
        <v>0</v>
      </c>
      <c r="Q757">
        <v>0</v>
      </c>
      <c r="R757">
        <v>0</v>
      </c>
      <c r="S757">
        <v>0</v>
      </c>
      <c r="T757">
        <v>1</v>
      </c>
      <c r="U757">
        <v>0</v>
      </c>
      <c r="V757">
        <v>1</v>
      </c>
      <c r="W757" s="11">
        <v>0</v>
      </c>
      <c r="X757">
        <v>0</v>
      </c>
      <c r="Y757">
        <v>0</v>
      </c>
      <c r="AA757" t="s">
        <v>585</v>
      </c>
      <c r="AB757" t="s">
        <v>586</v>
      </c>
      <c r="AC757" t="s">
        <v>587</v>
      </c>
    </row>
    <row r="758" spans="1:36">
      <c r="A758" s="8">
        <v>2020</v>
      </c>
      <c r="B758" s="8">
        <v>225</v>
      </c>
      <c r="D758" s="8" t="s">
        <v>60</v>
      </c>
      <c r="E758" t="s">
        <v>552</v>
      </c>
      <c r="F758" t="s">
        <v>61</v>
      </c>
      <c r="G758" s="8" t="s">
        <v>18</v>
      </c>
      <c r="H758" t="s">
        <v>19</v>
      </c>
      <c r="I758" t="s">
        <v>18</v>
      </c>
      <c r="J758" t="s">
        <v>19</v>
      </c>
      <c r="K758" s="8" t="s">
        <v>65</v>
      </c>
      <c r="L758" t="s">
        <v>18</v>
      </c>
      <c r="O758">
        <v>0</v>
      </c>
      <c r="P758">
        <v>0</v>
      </c>
      <c r="Q758">
        <v>1</v>
      </c>
      <c r="R758">
        <v>1</v>
      </c>
      <c r="S758">
        <v>0</v>
      </c>
      <c r="T758">
        <v>0</v>
      </c>
      <c r="U758">
        <v>1</v>
      </c>
      <c r="V758">
        <v>0</v>
      </c>
      <c r="W758" s="11">
        <v>1</v>
      </c>
      <c r="X758">
        <v>1</v>
      </c>
      <c r="Y758">
        <v>0</v>
      </c>
      <c r="Z758" t="s">
        <v>588</v>
      </c>
      <c r="AA758" t="s">
        <v>589</v>
      </c>
      <c r="AB758" t="s">
        <v>590</v>
      </c>
    </row>
    <row r="759" spans="1:36">
      <c r="A759" s="8">
        <v>2020</v>
      </c>
      <c r="B759" s="8">
        <v>226</v>
      </c>
      <c r="D759" s="8" t="s">
        <v>60</v>
      </c>
      <c r="E759" t="s">
        <v>209</v>
      </c>
      <c r="F759" t="s">
        <v>61</v>
      </c>
      <c r="G759" s="8" t="s">
        <v>37</v>
      </c>
      <c r="I759" t="s">
        <v>60</v>
      </c>
      <c r="J759" t="s">
        <v>61</v>
      </c>
      <c r="K759" s="8" t="s">
        <v>41</v>
      </c>
      <c r="L759" t="s">
        <v>37</v>
      </c>
      <c r="O759">
        <v>1</v>
      </c>
      <c r="P759">
        <v>0</v>
      </c>
      <c r="Q759">
        <v>1</v>
      </c>
      <c r="R759">
        <v>0</v>
      </c>
      <c r="S759">
        <v>0</v>
      </c>
      <c r="T759">
        <v>0</v>
      </c>
      <c r="U759">
        <v>0</v>
      </c>
      <c r="V759">
        <v>1</v>
      </c>
      <c r="W759" s="11">
        <v>0</v>
      </c>
      <c r="X759">
        <v>0</v>
      </c>
      <c r="Y759">
        <v>0</v>
      </c>
      <c r="AA759" t="s">
        <v>591</v>
      </c>
      <c r="AB759" t="s">
        <v>593</v>
      </c>
      <c r="AC759" t="s">
        <v>592</v>
      </c>
      <c r="AI759" t="s">
        <v>603</v>
      </c>
      <c r="AJ759" t="s">
        <v>604</v>
      </c>
    </row>
    <row r="760" spans="1:36">
      <c r="A760" s="8">
        <v>2020</v>
      </c>
      <c r="B760" s="8">
        <v>227</v>
      </c>
      <c r="D760" s="8" t="s">
        <v>60</v>
      </c>
      <c r="E760" t="s">
        <v>209</v>
      </c>
      <c r="F760" t="s">
        <v>61</v>
      </c>
      <c r="G760" s="8" t="s">
        <v>37</v>
      </c>
      <c r="I760" t="s">
        <v>60</v>
      </c>
      <c r="J760" t="s">
        <v>61</v>
      </c>
      <c r="K760" s="8" t="s">
        <v>41</v>
      </c>
      <c r="L760" t="s">
        <v>37</v>
      </c>
      <c r="O760">
        <v>0</v>
      </c>
      <c r="P760">
        <v>0</v>
      </c>
      <c r="Q760">
        <v>0</v>
      </c>
      <c r="R760">
        <v>0</v>
      </c>
      <c r="S760">
        <v>0</v>
      </c>
      <c r="T760">
        <v>0</v>
      </c>
      <c r="U760">
        <v>0</v>
      </c>
      <c r="V760">
        <v>1</v>
      </c>
      <c r="W760" s="11">
        <v>0</v>
      </c>
      <c r="X760">
        <v>0</v>
      </c>
      <c r="Y760">
        <v>0</v>
      </c>
      <c r="AA760" t="s">
        <v>594</v>
      </c>
      <c r="AB760" t="s">
        <v>595</v>
      </c>
      <c r="AC760" t="s">
        <v>596</v>
      </c>
    </row>
    <row r="761" spans="1:36">
      <c r="A761" s="8">
        <v>2020</v>
      </c>
      <c r="B761" s="8">
        <v>228</v>
      </c>
      <c r="D761" s="8" t="s">
        <v>60</v>
      </c>
      <c r="F761" t="s">
        <v>61</v>
      </c>
      <c r="G761" s="8" t="s">
        <v>37</v>
      </c>
      <c r="I761" t="s">
        <v>60</v>
      </c>
      <c r="J761" t="s">
        <v>61</v>
      </c>
      <c r="K761" s="8" t="s">
        <v>41</v>
      </c>
      <c r="L761" t="s">
        <v>37</v>
      </c>
      <c r="O761">
        <v>0</v>
      </c>
      <c r="P761">
        <v>0</v>
      </c>
      <c r="Q761">
        <v>1</v>
      </c>
      <c r="R761">
        <v>0</v>
      </c>
      <c r="S761">
        <v>0</v>
      </c>
      <c r="T761">
        <v>0</v>
      </c>
      <c r="U761">
        <v>0</v>
      </c>
      <c r="V761">
        <v>1</v>
      </c>
      <c r="W761" s="11">
        <v>0</v>
      </c>
      <c r="X761">
        <v>0</v>
      </c>
      <c r="Y761">
        <v>0</v>
      </c>
      <c r="AA761" t="s">
        <v>597</v>
      </c>
      <c r="AB761" s="20" t="s">
        <v>598</v>
      </c>
      <c r="AC761" t="s">
        <v>599</v>
      </c>
    </row>
    <row r="762" spans="1:36">
      <c r="A762" s="8">
        <v>2020</v>
      </c>
      <c r="B762" s="8">
        <v>229</v>
      </c>
      <c r="D762" s="8" t="s">
        <v>60</v>
      </c>
      <c r="F762" t="s">
        <v>61</v>
      </c>
      <c r="G762" s="8" t="s">
        <v>37</v>
      </c>
      <c r="I762" t="s">
        <v>60</v>
      </c>
      <c r="J762" t="s">
        <v>61</v>
      </c>
      <c r="K762" s="8" t="s">
        <v>41</v>
      </c>
      <c r="L762" t="s">
        <v>37</v>
      </c>
      <c r="O762">
        <v>0</v>
      </c>
      <c r="P762">
        <v>0</v>
      </c>
      <c r="Q762">
        <v>0</v>
      </c>
      <c r="R762">
        <v>0</v>
      </c>
      <c r="S762">
        <v>0</v>
      </c>
      <c r="T762">
        <v>0</v>
      </c>
      <c r="U762">
        <v>0</v>
      </c>
      <c r="V762">
        <v>1</v>
      </c>
      <c r="W762" s="11">
        <v>0</v>
      </c>
      <c r="X762">
        <v>0</v>
      </c>
      <c r="Y762">
        <v>0</v>
      </c>
      <c r="AA762" t="s">
        <v>600</v>
      </c>
      <c r="AB762" t="s">
        <v>601</v>
      </c>
      <c r="AC762" t="s">
        <v>602</v>
      </c>
    </row>
    <row r="763" spans="1:36">
      <c r="A763" s="8">
        <v>2020</v>
      </c>
      <c r="B763" s="8">
        <v>230</v>
      </c>
      <c r="D763" s="8" t="s">
        <v>60</v>
      </c>
      <c r="E763" t="s">
        <v>552</v>
      </c>
      <c r="F763" t="s">
        <v>61</v>
      </c>
      <c r="G763" s="8" t="s">
        <v>35</v>
      </c>
      <c r="I763" t="s">
        <v>18</v>
      </c>
      <c r="J763" t="s">
        <v>19</v>
      </c>
      <c r="K763" s="8" t="s">
        <v>25</v>
      </c>
      <c r="L763" t="s">
        <v>605</v>
      </c>
      <c r="O763">
        <v>0</v>
      </c>
      <c r="P763">
        <v>0</v>
      </c>
      <c r="Q763">
        <v>1</v>
      </c>
      <c r="R763">
        <v>0</v>
      </c>
      <c r="S763">
        <v>0</v>
      </c>
      <c r="T763">
        <v>0</v>
      </c>
      <c r="U763">
        <v>0</v>
      </c>
      <c r="V763">
        <v>1</v>
      </c>
      <c r="W763" s="11">
        <v>0</v>
      </c>
      <c r="X763">
        <v>0</v>
      </c>
      <c r="Y763">
        <v>0</v>
      </c>
      <c r="AA763" t="s">
        <v>606</v>
      </c>
      <c r="AB763" t="s">
        <v>607</v>
      </c>
      <c r="AC763" t="s">
        <v>608</v>
      </c>
    </row>
    <row r="764" spans="1:36">
      <c r="A764" s="8">
        <v>2020</v>
      </c>
      <c r="B764" s="8">
        <v>230</v>
      </c>
      <c r="D764" s="8" t="s">
        <v>60</v>
      </c>
      <c r="E764" t="s">
        <v>552</v>
      </c>
      <c r="F764" t="s">
        <v>61</v>
      </c>
      <c r="G764" s="8" t="s">
        <v>605</v>
      </c>
      <c r="I764" t="s">
        <v>18</v>
      </c>
      <c r="J764" t="s">
        <v>19</v>
      </c>
      <c r="K764" s="8" t="s">
        <v>25</v>
      </c>
      <c r="L764" t="s">
        <v>605</v>
      </c>
      <c r="O764">
        <v>0</v>
      </c>
      <c r="P764">
        <v>0</v>
      </c>
      <c r="Q764">
        <v>1</v>
      </c>
      <c r="R764">
        <v>0</v>
      </c>
      <c r="S764">
        <v>0</v>
      </c>
      <c r="T764">
        <v>0</v>
      </c>
      <c r="U764">
        <v>0</v>
      </c>
      <c r="V764">
        <v>1</v>
      </c>
      <c r="W764" s="11">
        <v>0</v>
      </c>
      <c r="X764">
        <v>0</v>
      </c>
      <c r="Y764">
        <v>0</v>
      </c>
      <c r="AA764" t="s">
        <v>606</v>
      </c>
      <c r="AB764" t="s">
        <v>607</v>
      </c>
      <c r="AC764" t="s">
        <v>608</v>
      </c>
    </row>
    <row r="765" spans="1:36">
      <c r="A765" s="8">
        <v>2020</v>
      </c>
      <c r="B765" s="8">
        <v>231</v>
      </c>
      <c r="D765" s="8" t="s">
        <v>60</v>
      </c>
      <c r="F765" t="s">
        <v>61</v>
      </c>
      <c r="G765" s="8" t="s">
        <v>567</v>
      </c>
      <c r="H765" t="s">
        <v>568</v>
      </c>
      <c r="I765" t="s">
        <v>567</v>
      </c>
      <c r="J765" t="s">
        <v>568</v>
      </c>
      <c r="K765" s="8" t="s">
        <v>41</v>
      </c>
      <c r="L765" t="s">
        <v>567</v>
      </c>
      <c r="O765">
        <v>1</v>
      </c>
      <c r="P765">
        <v>0</v>
      </c>
      <c r="Q765">
        <v>1</v>
      </c>
      <c r="R765">
        <v>1</v>
      </c>
      <c r="S765">
        <v>0</v>
      </c>
      <c r="T765">
        <v>0</v>
      </c>
      <c r="U765">
        <v>0</v>
      </c>
      <c r="V765">
        <v>1</v>
      </c>
      <c r="W765" s="11">
        <v>0</v>
      </c>
      <c r="X765">
        <v>0</v>
      </c>
      <c r="Y765">
        <v>0</v>
      </c>
      <c r="AA765" t="s">
        <v>622</v>
      </c>
      <c r="AB765" t="s">
        <v>623</v>
      </c>
      <c r="AC765" t="s">
        <v>621</v>
      </c>
    </row>
    <row r="766" spans="1:36">
      <c r="A766" s="8">
        <v>2020</v>
      </c>
      <c r="B766" s="8">
        <v>231</v>
      </c>
      <c r="D766" s="8" t="s">
        <v>60</v>
      </c>
      <c r="F766" t="s">
        <v>61</v>
      </c>
      <c r="G766" s="8" t="s">
        <v>610</v>
      </c>
      <c r="I766" t="s">
        <v>567</v>
      </c>
      <c r="J766" t="s">
        <v>568</v>
      </c>
      <c r="K766" s="8" t="s">
        <v>41</v>
      </c>
      <c r="L766" t="s">
        <v>567</v>
      </c>
      <c r="O766">
        <v>1</v>
      </c>
      <c r="P766">
        <v>0</v>
      </c>
      <c r="Q766">
        <v>0</v>
      </c>
      <c r="R766">
        <v>1</v>
      </c>
      <c r="S766">
        <v>0</v>
      </c>
      <c r="T766">
        <v>0</v>
      </c>
      <c r="U766">
        <v>0</v>
      </c>
      <c r="V766">
        <v>1</v>
      </c>
      <c r="W766" s="11">
        <v>0</v>
      </c>
      <c r="X766">
        <v>0</v>
      </c>
      <c r="Y766">
        <v>0</v>
      </c>
      <c r="AA766" t="s">
        <v>622</v>
      </c>
      <c r="AB766" t="s">
        <v>623</v>
      </c>
      <c r="AC766" t="s">
        <v>621</v>
      </c>
    </row>
    <row r="767" spans="1:36">
      <c r="A767" s="8">
        <v>2020</v>
      </c>
      <c r="B767" s="8">
        <v>231</v>
      </c>
      <c r="D767" s="8" t="s">
        <v>60</v>
      </c>
      <c r="F767" t="s">
        <v>61</v>
      </c>
      <c r="G767" s="8" t="s">
        <v>611</v>
      </c>
      <c r="H767" t="s">
        <v>617</v>
      </c>
      <c r="I767" t="s">
        <v>567</v>
      </c>
      <c r="J767" t="s">
        <v>568</v>
      </c>
      <c r="K767" s="8" t="s">
        <v>41</v>
      </c>
      <c r="L767" t="s">
        <v>567</v>
      </c>
      <c r="O767">
        <v>1</v>
      </c>
      <c r="P767">
        <v>0</v>
      </c>
      <c r="Q767">
        <v>0</v>
      </c>
      <c r="R767">
        <v>1</v>
      </c>
      <c r="S767">
        <v>0</v>
      </c>
      <c r="T767">
        <v>0</v>
      </c>
      <c r="U767">
        <v>0</v>
      </c>
      <c r="V767">
        <v>1</v>
      </c>
      <c r="W767" s="11">
        <v>0</v>
      </c>
      <c r="X767">
        <v>0</v>
      </c>
      <c r="Y767">
        <v>0</v>
      </c>
      <c r="AA767" t="s">
        <v>622</v>
      </c>
      <c r="AB767" t="s">
        <v>623</v>
      </c>
      <c r="AC767" t="s">
        <v>621</v>
      </c>
    </row>
    <row r="768" spans="1:36">
      <c r="A768" s="8">
        <v>2020</v>
      </c>
      <c r="B768" s="8">
        <v>231</v>
      </c>
      <c r="D768" s="8" t="s">
        <v>60</v>
      </c>
      <c r="F768" t="s">
        <v>61</v>
      </c>
      <c r="G768" s="8" t="s">
        <v>154</v>
      </c>
      <c r="H768" t="s">
        <v>187</v>
      </c>
      <c r="I768" t="s">
        <v>567</v>
      </c>
      <c r="J768" t="s">
        <v>568</v>
      </c>
      <c r="K768" s="8" t="s">
        <v>41</v>
      </c>
      <c r="L768" t="s">
        <v>567</v>
      </c>
      <c r="O768">
        <v>1</v>
      </c>
      <c r="P768">
        <v>0</v>
      </c>
      <c r="Q768">
        <v>0</v>
      </c>
      <c r="R768">
        <v>1</v>
      </c>
      <c r="S768">
        <v>0</v>
      </c>
      <c r="T768">
        <v>0</v>
      </c>
      <c r="U768">
        <v>0</v>
      </c>
      <c r="V768">
        <v>1</v>
      </c>
      <c r="W768">
        <v>0</v>
      </c>
      <c r="X768">
        <v>0</v>
      </c>
      <c r="Y768">
        <v>0</v>
      </c>
      <c r="AA768" t="s">
        <v>622</v>
      </c>
      <c r="AB768" t="s">
        <v>623</v>
      </c>
      <c r="AC768" t="s">
        <v>621</v>
      </c>
    </row>
    <row r="769" spans="1:29">
      <c r="A769" s="8">
        <v>2020</v>
      </c>
      <c r="B769" s="8">
        <v>231</v>
      </c>
      <c r="D769" s="8" t="s">
        <v>60</v>
      </c>
      <c r="F769" t="s">
        <v>61</v>
      </c>
      <c r="G769" s="8" t="s">
        <v>161</v>
      </c>
      <c r="I769" t="s">
        <v>567</v>
      </c>
      <c r="J769" t="s">
        <v>568</v>
      </c>
      <c r="K769" s="8" t="s">
        <v>41</v>
      </c>
      <c r="L769" t="s">
        <v>567</v>
      </c>
      <c r="O769">
        <v>1</v>
      </c>
      <c r="P769">
        <v>0</v>
      </c>
      <c r="Q769">
        <v>0</v>
      </c>
      <c r="R769">
        <v>1</v>
      </c>
      <c r="S769">
        <v>0</v>
      </c>
      <c r="T769">
        <v>0</v>
      </c>
      <c r="U769">
        <v>0</v>
      </c>
      <c r="V769">
        <v>1</v>
      </c>
      <c r="W769">
        <v>0</v>
      </c>
      <c r="X769">
        <v>0</v>
      </c>
      <c r="Y769">
        <v>0</v>
      </c>
      <c r="AA769" t="s">
        <v>622</v>
      </c>
      <c r="AB769" t="s">
        <v>623</v>
      </c>
      <c r="AC769" t="s">
        <v>621</v>
      </c>
    </row>
    <row r="770" spans="1:29">
      <c r="A770" s="8">
        <v>2020</v>
      </c>
      <c r="B770" s="8">
        <v>231</v>
      </c>
      <c r="D770" s="8" t="s">
        <v>60</v>
      </c>
      <c r="F770" t="s">
        <v>61</v>
      </c>
      <c r="G770" s="8" t="s">
        <v>22</v>
      </c>
      <c r="H770" t="s">
        <v>24</v>
      </c>
      <c r="I770" t="s">
        <v>567</v>
      </c>
      <c r="J770" t="s">
        <v>568</v>
      </c>
      <c r="K770" s="8" t="s">
        <v>41</v>
      </c>
      <c r="L770" t="s">
        <v>567</v>
      </c>
      <c r="O770">
        <v>1</v>
      </c>
      <c r="P770">
        <v>0</v>
      </c>
      <c r="Q770">
        <v>0</v>
      </c>
      <c r="R770">
        <v>1</v>
      </c>
      <c r="S770">
        <v>0</v>
      </c>
      <c r="T770">
        <v>0</v>
      </c>
      <c r="U770">
        <v>0</v>
      </c>
      <c r="V770">
        <v>1</v>
      </c>
      <c r="W770">
        <v>0</v>
      </c>
      <c r="X770">
        <v>0</v>
      </c>
      <c r="Y770">
        <v>0</v>
      </c>
      <c r="AA770" t="s">
        <v>622</v>
      </c>
      <c r="AB770" t="s">
        <v>623</v>
      </c>
      <c r="AC770" t="s">
        <v>621</v>
      </c>
    </row>
    <row r="771" spans="1:29">
      <c r="A771" s="8">
        <v>2020</v>
      </c>
      <c r="B771" s="8">
        <v>231</v>
      </c>
      <c r="D771" s="8" t="s">
        <v>60</v>
      </c>
      <c r="F771" t="s">
        <v>61</v>
      </c>
      <c r="G771" s="8" t="s">
        <v>222</v>
      </c>
      <c r="H771" t="s">
        <v>227</v>
      </c>
      <c r="I771" t="s">
        <v>567</v>
      </c>
      <c r="J771" t="s">
        <v>568</v>
      </c>
      <c r="K771" s="8" t="s">
        <v>41</v>
      </c>
      <c r="L771" t="s">
        <v>567</v>
      </c>
      <c r="O771">
        <v>1</v>
      </c>
      <c r="P771">
        <v>0</v>
      </c>
      <c r="Q771">
        <v>0</v>
      </c>
      <c r="R771">
        <v>1</v>
      </c>
      <c r="S771">
        <v>0</v>
      </c>
      <c r="T771">
        <v>0</v>
      </c>
      <c r="U771">
        <v>0</v>
      </c>
      <c r="V771">
        <v>1</v>
      </c>
      <c r="W771">
        <v>0</v>
      </c>
      <c r="X771">
        <v>0</v>
      </c>
      <c r="Y771">
        <v>0</v>
      </c>
      <c r="AA771" t="s">
        <v>622</v>
      </c>
      <c r="AB771" t="s">
        <v>623</v>
      </c>
      <c r="AC771" t="s">
        <v>621</v>
      </c>
    </row>
    <row r="772" spans="1:29">
      <c r="A772" s="8">
        <v>2020</v>
      </c>
      <c r="B772" s="8">
        <v>231</v>
      </c>
      <c r="D772" s="8" t="s">
        <v>60</v>
      </c>
      <c r="F772" t="s">
        <v>61</v>
      </c>
      <c r="G772" s="8" t="s">
        <v>223</v>
      </c>
      <c r="H772" t="s">
        <v>228</v>
      </c>
      <c r="I772" t="s">
        <v>567</v>
      </c>
      <c r="J772" t="s">
        <v>568</v>
      </c>
      <c r="K772" s="8" t="s">
        <v>41</v>
      </c>
      <c r="L772" t="s">
        <v>567</v>
      </c>
      <c r="O772">
        <v>1</v>
      </c>
      <c r="P772">
        <v>0</v>
      </c>
      <c r="Q772">
        <v>0</v>
      </c>
      <c r="R772">
        <v>1</v>
      </c>
      <c r="S772">
        <v>0</v>
      </c>
      <c r="T772">
        <v>0</v>
      </c>
      <c r="U772">
        <v>0</v>
      </c>
      <c r="V772">
        <v>1</v>
      </c>
      <c r="W772">
        <v>0</v>
      </c>
      <c r="X772">
        <v>0</v>
      </c>
      <c r="Y772">
        <v>0</v>
      </c>
      <c r="AA772" t="s">
        <v>622</v>
      </c>
      <c r="AB772" t="s">
        <v>623</v>
      </c>
      <c r="AC772" t="s">
        <v>621</v>
      </c>
    </row>
    <row r="773" spans="1:29">
      <c r="A773" s="8">
        <v>2020</v>
      </c>
      <c r="B773" s="8">
        <v>231</v>
      </c>
      <c r="D773" s="8" t="s">
        <v>60</v>
      </c>
      <c r="F773" t="s">
        <v>61</v>
      </c>
      <c r="G773" s="8" t="s">
        <v>204</v>
      </c>
      <c r="H773" t="s">
        <v>207</v>
      </c>
      <c r="I773" t="s">
        <v>567</v>
      </c>
      <c r="J773" t="s">
        <v>568</v>
      </c>
      <c r="K773" s="8" t="s">
        <v>41</v>
      </c>
      <c r="L773" t="s">
        <v>567</v>
      </c>
      <c r="O773">
        <v>1</v>
      </c>
      <c r="P773">
        <v>0</v>
      </c>
      <c r="Q773">
        <v>0</v>
      </c>
      <c r="R773">
        <v>1</v>
      </c>
      <c r="S773">
        <v>0</v>
      </c>
      <c r="T773">
        <v>0</v>
      </c>
      <c r="U773">
        <v>0</v>
      </c>
      <c r="V773">
        <v>1</v>
      </c>
      <c r="W773">
        <v>0</v>
      </c>
      <c r="X773">
        <v>0</v>
      </c>
      <c r="Y773">
        <v>0</v>
      </c>
      <c r="AA773" t="s">
        <v>622</v>
      </c>
      <c r="AB773" t="s">
        <v>623</v>
      </c>
      <c r="AC773" t="s">
        <v>621</v>
      </c>
    </row>
    <row r="774" spans="1:29">
      <c r="A774" s="8">
        <v>2020</v>
      </c>
      <c r="B774" s="8">
        <v>231</v>
      </c>
      <c r="D774" s="8" t="s">
        <v>60</v>
      </c>
      <c r="F774" t="s">
        <v>61</v>
      </c>
      <c r="G774" s="8" t="s">
        <v>612</v>
      </c>
      <c r="H774" t="s">
        <v>618</v>
      </c>
      <c r="I774" t="s">
        <v>567</v>
      </c>
      <c r="J774" t="s">
        <v>568</v>
      </c>
      <c r="K774" s="8" t="s">
        <v>41</v>
      </c>
      <c r="L774" t="s">
        <v>567</v>
      </c>
      <c r="O774">
        <v>1</v>
      </c>
      <c r="P774">
        <v>0</v>
      </c>
      <c r="Q774">
        <v>0</v>
      </c>
      <c r="R774">
        <v>1</v>
      </c>
      <c r="S774">
        <v>0</v>
      </c>
      <c r="T774">
        <v>0</v>
      </c>
      <c r="U774">
        <v>0</v>
      </c>
      <c r="V774">
        <v>1</v>
      </c>
      <c r="W774">
        <v>0</v>
      </c>
      <c r="X774">
        <v>0</v>
      </c>
      <c r="Y774">
        <v>0</v>
      </c>
      <c r="AA774" t="s">
        <v>622</v>
      </c>
      <c r="AB774" t="s">
        <v>623</v>
      </c>
      <c r="AC774" t="s">
        <v>621</v>
      </c>
    </row>
    <row r="775" spans="1:29">
      <c r="A775" s="8">
        <v>2020</v>
      </c>
      <c r="B775" s="8">
        <v>231</v>
      </c>
      <c r="D775" s="8" t="s">
        <v>60</v>
      </c>
      <c r="F775" t="s">
        <v>61</v>
      </c>
      <c r="G775" s="8" t="s">
        <v>613</v>
      </c>
      <c r="H775" t="s">
        <v>619</v>
      </c>
      <c r="I775" t="s">
        <v>567</v>
      </c>
      <c r="J775" t="s">
        <v>568</v>
      </c>
      <c r="K775" s="8" t="s">
        <v>41</v>
      </c>
      <c r="L775" t="s">
        <v>567</v>
      </c>
      <c r="O775">
        <v>1</v>
      </c>
      <c r="P775">
        <v>0</v>
      </c>
      <c r="Q775">
        <v>0</v>
      </c>
      <c r="R775">
        <v>1</v>
      </c>
      <c r="S775">
        <v>0</v>
      </c>
      <c r="T775">
        <v>0</v>
      </c>
      <c r="U775">
        <v>0</v>
      </c>
      <c r="V775">
        <v>1</v>
      </c>
      <c r="W775">
        <v>0</v>
      </c>
      <c r="X775">
        <v>0</v>
      </c>
      <c r="Y775">
        <v>0</v>
      </c>
      <c r="AA775" t="s">
        <v>622</v>
      </c>
      <c r="AB775" t="s">
        <v>623</v>
      </c>
      <c r="AC775" t="s">
        <v>621</v>
      </c>
    </row>
    <row r="776" spans="1:29">
      <c r="A776" s="8">
        <v>2020</v>
      </c>
      <c r="B776" s="8">
        <v>231</v>
      </c>
      <c r="D776" s="8" t="s">
        <v>60</v>
      </c>
      <c r="F776" t="s">
        <v>61</v>
      </c>
      <c r="G776" s="8" t="s">
        <v>377</v>
      </c>
      <c r="H776" t="s">
        <v>378</v>
      </c>
      <c r="I776" t="s">
        <v>567</v>
      </c>
      <c r="J776" t="s">
        <v>568</v>
      </c>
      <c r="K776" s="8" t="s">
        <v>41</v>
      </c>
      <c r="L776" t="s">
        <v>567</v>
      </c>
      <c r="O776">
        <v>1</v>
      </c>
      <c r="P776">
        <v>0</v>
      </c>
      <c r="Q776">
        <v>0</v>
      </c>
      <c r="R776">
        <v>1</v>
      </c>
      <c r="S776">
        <v>0</v>
      </c>
      <c r="T776">
        <v>0</v>
      </c>
      <c r="U776">
        <v>0</v>
      </c>
      <c r="V776">
        <v>1</v>
      </c>
      <c r="W776">
        <v>0</v>
      </c>
      <c r="X776">
        <v>0</v>
      </c>
      <c r="Y776">
        <v>0</v>
      </c>
      <c r="AA776" t="s">
        <v>622</v>
      </c>
      <c r="AB776" t="s">
        <v>623</v>
      </c>
      <c r="AC776" t="s">
        <v>621</v>
      </c>
    </row>
    <row r="777" spans="1:29">
      <c r="A777" s="8">
        <v>2020</v>
      </c>
      <c r="B777" s="8">
        <v>231</v>
      </c>
      <c r="D777" s="8" t="s">
        <v>60</v>
      </c>
      <c r="F777" t="s">
        <v>61</v>
      </c>
      <c r="G777" s="8" t="s">
        <v>203</v>
      </c>
      <c r="H777" t="s">
        <v>206</v>
      </c>
      <c r="I777" t="s">
        <v>567</v>
      </c>
      <c r="J777" t="s">
        <v>568</v>
      </c>
      <c r="K777" s="8" t="s">
        <v>41</v>
      </c>
      <c r="L777" t="s">
        <v>567</v>
      </c>
      <c r="O777">
        <v>1</v>
      </c>
      <c r="P777">
        <v>0</v>
      </c>
      <c r="Q777">
        <v>0</v>
      </c>
      <c r="R777">
        <v>1</v>
      </c>
      <c r="S777">
        <v>0</v>
      </c>
      <c r="T777">
        <v>0</v>
      </c>
      <c r="U777">
        <v>0</v>
      </c>
      <c r="V777">
        <v>1</v>
      </c>
      <c r="W777">
        <v>0</v>
      </c>
      <c r="X777">
        <v>0</v>
      </c>
      <c r="Y777">
        <v>0</v>
      </c>
      <c r="AA777" t="s">
        <v>622</v>
      </c>
      <c r="AB777" t="s">
        <v>623</v>
      </c>
      <c r="AC777" t="s">
        <v>621</v>
      </c>
    </row>
    <row r="778" spans="1:29">
      <c r="A778" s="8">
        <v>2020</v>
      </c>
      <c r="B778" s="8">
        <v>231</v>
      </c>
      <c r="D778" s="8" t="s">
        <v>60</v>
      </c>
      <c r="F778" t="s">
        <v>61</v>
      </c>
      <c r="G778" s="8" t="s">
        <v>157</v>
      </c>
      <c r="H778" t="s">
        <v>190</v>
      </c>
      <c r="I778" t="s">
        <v>567</v>
      </c>
      <c r="J778" t="s">
        <v>568</v>
      </c>
      <c r="K778" s="8" t="s">
        <v>41</v>
      </c>
      <c r="L778" t="s">
        <v>567</v>
      </c>
      <c r="O778">
        <v>1</v>
      </c>
      <c r="P778">
        <v>0</v>
      </c>
      <c r="Q778">
        <v>0</v>
      </c>
      <c r="R778">
        <v>1</v>
      </c>
      <c r="S778">
        <v>0</v>
      </c>
      <c r="T778">
        <v>0</v>
      </c>
      <c r="U778">
        <v>0</v>
      </c>
      <c r="V778">
        <v>1</v>
      </c>
      <c r="W778">
        <v>0</v>
      </c>
      <c r="X778">
        <v>0</v>
      </c>
      <c r="Y778">
        <v>0</v>
      </c>
      <c r="AA778" t="s">
        <v>622</v>
      </c>
      <c r="AB778" t="s">
        <v>623</v>
      </c>
      <c r="AC778" t="s">
        <v>621</v>
      </c>
    </row>
    <row r="779" spans="1:29">
      <c r="A779" s="8">
        <v>2020</v>
      </c>
      <c r="B779" s="8">
        <v>231</v>
      </c>
      <c r="D779" s="8" t="s">
        <v>60</v>
      </c>
      <c r="F779" t="s">
        <v>61</v>
      </c>
      <c r="G779" s="8" t="s">
        <v>155</v>
      </c>
      <c r="H779" t="s">
        <v>188</v>
      </c>
      <c r="I779" t="s">
        <v>567</v>
      </c>
      <c r="J779" t="s">
        <v>568</v>
      </c>
      <c r="K779" s="8" t="s">
        <v>41</v>
      </c>
      <c r="L779" t="s">
        <v>567</v>
      </c>
      <c r="O779">
        <v>1</v>
      </c>
      <c r="P779">
        <v>0</v>
      </c>
      <c r="Q779">
        <v>0</v>
      </c>
      <c r="R779">
        <v>1</v>
      </c>
      <c r="S779">
        <v>0</v>
      </c>
      <c r="T779">
        <v>0</v>
      </c>
      <c r="U779">
        <v>0</v>
      </c>
      <c r="V779">
        <v>1</v>
      </c>
      <c r="W779">
        <v>0</v>
      </c>
      <c r="X779">
        <v>0</v>
      </c>
      <c r="Y779">
        <v>0</v>
      </c>
      <c r="AA779" t="s">
        <v>622</v>
      </c>
      <c r="AB779" t="s">
        <v>623</v>
      </c>
      <c r="AC779" t="s">
        <v>621</v>
      </c>
    </row>
    <row r="780" spans="1:29">
      <c r="A780" s="8">
        <v>2020</v>
      </c>
      <c r="B780" s="8">
        <v>231</v>
      </c>
      <c r="D780" s="8" t="s">
        <v>60</v>
      </c>
      <c r="F780" t="s">
        <v>61</v>
      </c>
      <c r="G780" s="8" t="s">
        <v>615</v>
      </c>
      <c r="H780" t="s">
        <v>620</v>
      </c>
      <c r="I780" t="s">
        <v>567</v>
      </c>
      <c r="J780" t="s">
        <v>568</v>
      </c>
      <c r="K780" s="8" t="s">
        <v>41</v>
      </c>
      <c r="L780" t="s">
        <v>567</v>
      </c>
      <c r="O780">
        <v>1</v>
      </c>
      <c r="P780">
        <v>0</v>
      </c>
      <c r="Q780">
        <v>0</v>
      </c>
      <c r="R780">
        <v>1</v>
      </c>
      <c r="S780">
        <v>0</v>
      </c>
      <c r="T780">
        <v>0</v>
      </c>
      <c r="U780">
        <v>0</v>
      </c>
      <c r="V780">
        <v>1</v>
      </c>
      <c r="W780">
        <v>0</v>
      </c>
      <c r="X780">
        <v>0</v>
      </c>
      <c r="Y780">
        <v>0</v>
      </c>
      <c r="AA780" t="s">
        <v>622</v>
      </c>
      <c r="AB780" t="s">
        <v>623</v>
      </c>
      <c r="AC780" t="s">
        <v>621</v>
      </c>
    </row>
    <row r="781" spans="1:29">
      <c r="A781" s="8">
        <v>2020</v>
      </c>
      <c r="B781" s="8">
        <v>231</v>
      </c>
      <c r="D781" s="8" t="s">
        <v>60</v>
      </c>
      <c r="F781" t="s">
        <v>61</v>
      </c>
      <c r="G781" s="8" t="s">
        <v>202</v>
      </c>
      <c r="H781" t="s">
        <v>205</v>
      </c>
      <c r="I781" t="s">
        <v>567</v>
      </c>
      <c r="J781" t="s">
        <v>568</v>
      </c>
      <c r="K781" s="8" t="s">
        <v>41</v>
      </c>
      <c r="L781" t="s">
        <v>567</v>
      </c>
      <c r="O781">
        <v>1</v>
      </c>
      <c r="P781">
        <v>0</v>
      </c>
      <c r="Q781">
        <v>0</v>
      </c>
      <c r="R781">
        <v>1</v>
      </c>
      <c r="S781">
        <v>0</v>
      </c>
      <c r="T781">
        <v>0</v>
      </c>
      <c r="U781">
        <v>0</v>
      </c>
      <c r="V781">
        <v>1</v>
      </c>
      <c r="W781">
        <v>0</v>
      </c>
      <c r="X781">
        <v>0</v>
      </c>
      <c r="Y781">
        <v>0</v>
      </c>
      <c r="AA781" t="s">
        <v>622</v>
      </c>
      <c r="AB781" t="s">
        <v>623</v>
      </c>
      <c r="AC781" t="s">
        <v>621</v>
      </c>
    </row>
    <row r="782" spans="1:29">
      <c r="A782" s="8">
        <v>2020</v>
      </c>
      <c r="B782" s="8">
        <v>231</v>
      </c>
      <c r="D782" s="8" t="s">
        <v>60</v>
      </c>
      <c r="F782" t="s">
        <v>61</v>
      </c>
      <c r="G782" s="8" t="s">
        <v>37</v>
      </c>
      <c r="I782" t="s">
        <v>567</v>
      </c>
      <c r="J782" t="s">
        <v>568</v>
      </c>
      <c r="K782" s="8" t="s">
        <v>41</v>
      </c>
      <c r="L782" t="s">
        <v>567</v>
      </c>
      <c r="O782">
        <v>1</v>
      </c>
      <c r="P782">
        <v>0</v>
      </c>
      <c r="Q782">
        <v>0</v>
      </c>
      <c r="R782">
        <v>1</v>
      </c>
      <c r="S782">
        <v>0</v>
      </c>
      <c r="T782">
        <v>0</v>
      </c>
      <c r="U782">
        <v>0</v>
      </c>
      <c r="V782">
        <v>1</v>
      </c>
      <c r="W782">
        <v>0</v>
      </c>
      <c r="X782">
        <v>0</v>
      </c>
      <c r="Y782">
        <v>0</v>
      </c>
      <c r="AA782" t="s">
        <v>622</v>
      </c>
      <c r="AB782" t="s">
        <v>623</v>
      </c>
      <c r="AC782" t="s">
        <v>621</v>
      </c>
    </row>
    <row r="783" spans="1:29">
      <c r="A783" s="8">
        <v>2020</v>
      </c>
      <c r="B783" s="8">
        <v>231</v>
      </c>
      <c r="D783" s="8" t="s">
        <v>60</v>
      </c>
      <c r="F783" t="s">
        <v>61</v>
      </c>
      <c r="G783" s="8" t="s">
        <v>193</v>
      </c>
      <c r="H783" t="s">
        <v>185</v>
      </c>
      <c r="I783" t="s">
        <v>567</v>
      </c>
      <c r="J783" t="s">
        <v>568</v>
      </c>
      <c r="K783" s="8" t="s">
        <v>41</v>
      </c>
      <c r="L783" t="s">
        <v>567</v>
      </c>
      <c r="O783">
        <v>1</v>
      </c>
      <c r="P783">
        <v>0</v>
      </c>
      <c r="Q783">
        <v>0</v>
      </c>
      <c r="R783">
        <v>1</v>
      </c>
      <c r="S783">
        <v>0</v>
      </c>
      <c r="T783">
        <v>0</v>
      </c>
      <c r="U783">
        <v>0</v>
      </c>
      <c r="V783">
        <v>1</v>
      </c>
      <c r="W783">
        <v>0</v>
      </c>
      <c r="X783">
        <v>0</v>
      </c>
      <c r="Y783">
        <v>0</v>
      </c>
      <c r="AA783" t="s">
        <v>622</v>
      </c>
      <c r="AB783" t="s">
        <v>623</v>
      </c>
      <c r="AC783" t="s">
        <v>621</v>
      </c>
    </row>
    <row r="784" spans="1:29">
      <c r="A784" s="8">
        <v>2020</v>
      </c>
      <c r="B784" s="8">
        <v>231</v>
      </c>
      <c r="D784" s="8" t="s">
        <v>60</v>
      </c>
      <c r="F784" t="s">
        <v>61</v>
      </c>
      <c r="G784" s="8" t="s">
        <v>616</v>
      </c>
      <c r="I784" t="s">
        <v>567</v>
      </c>
      <c r="J784" t="s">
        <v>568</v>
      </c>
      <c r="K784" s="8" t="s">
        <v>41</v>
      </c>
      <c r="L784" t="s">
        <v>567</v>
      </c>
      <c r="O784">
        <v>1</v>
      </c>
      <c r="P784">
        <v>0</v>
      </c>
      <c r="Q784">
        <v>0</v>
      </c>
      <c r="R784">
        <v>0</v>
      </c>
      <c r="S784">
        <v>0</v>
      </c>
      <c r="T784">
        <v>0</v>
      </c>
      <c r="U784">
        <v>0</v>
      </c>
      <c r="V784">
        <v>1</v>
      </c>
      <c r="W784">
        <v>0</v>
      </c>
      <c r="X784">
        <v>0</v>
      </c>
      <c r="Y784">
        <v>0</v>
      </c>
      <c r="AA784" t="s">
        <v>622</v>
      </c>
      <c r="AB784" t="s">
        <v>623</v>
      </c>
      <c r="AC784" t="s">
        <v>621</v>
      </c>
    </row>
    <row r="785" spans="1:35">
      <c r="A785" s="8">
        <v>2020</v>
      </c>
      <c r="B785" s="8">
        <v>232</v>
      </c>
      <c r="D785" s="8" t="s">
        <v>60</v>
      </c>
      <c r="F785" t="s">
        <v>61</v>
      </c>
      <c r="G785" s="8" t="s">
        <v>18</v>
      </c>
      <c r="H785" t="s">
        <v>19</v>
      </c>
      <c r="I785" t="s">
        <v>18</v>
      </c>
      <c r="J785" t="s">
        <v>19</v>
      </c>
      <c r="K785" s="8" t="s">
        <v>65</v>
      </c>
      <c r="L785" t="s">
        <v>18</v>
      </c>
      <c r="O785">
        <v>0</v>
      </c>
      <c r="P785">
        <v>1</v>
      </c>
      <c r="Q785">
        <v>1</v>
      </c>
      <c r="R785">
        <v>1</v>
      </c>
      <c r="S785">
        <v>0</v>
      </c>
      <c r="T785">
        <v>0</v>
      </c>
      <c r="U785">
        <v>0</v>
      </c>
      <c r="V785">
        <v>0</v>
      </c>
      <c r="W785">
        <v>1</v>
      </c>
      <c r="X785">
        <v>0</v>
      </c>
      <c r="Y785">
        <v>0</v>
      </c>
      <c r="Z785" t="s">
        <v>624</v>
      </c>
      <c r="AA785" t="s">
        <v>625</v>
      </c>
      <c r="AB785" t="s">
        <v>626</v>
      </c>
      <c r="AC785" t="s">
        <v>637</v>
      </c>
      <c r="AD785" t="s">
        <v>638</v>
      </c>
    </row>
    <row r="786" spans="1:35">
      <c r="A786" s="8">
        <v>2020</v>
      </c>
      <c r="B786" s="8">
        <v>233</v>
      </c>
      <c r="D786" s="8" t="s">
        <v>60</v>
      </c>
      <c r="F786" t="s">
        <v>61</v>
      </c>
      <c r="G786" s="8" t="s">
        <v>161</v>
      </c>
      <c r="K786" s="8" t="s">
        <v>41</v>
      </c>
      <c r="L786" t="s">
        <v>161</v>
      </c>
      <c r="O786">
        <v>0</v>
      </c>
      <c r="P786">
        <v>0</v>
      </c>
      <c r="Q786">
        <v>0</v>
      </c>
      <c r="R786">
        <v>0</v>
      </c>
      <c r="S786">
        <v>0</v>
      </c>
      <c r="T786">
        <v>1</v>
      </c>
      <c r="U786">
        <v>0</v>
      </c>
      <c r="V786">
        <v>0</v>
      </c>
      <c r="W786">
        <v>0</v>
      </c>
      <c r="X786">
        <v>0</v>
      </c>
      <c r="Y786">
        <v>0</v>
      </c>
      <c r="AA786" t="s">
        <v>627</v>
      </c>
      <c r="AB786" t="s">
        <v>628</v>
      </c>
      <c r="AC786" t="s">
        <v>630</v>
      </c>
      <c r="AD786" t="s">
        <v>629</v>
      </c>
    </row>
    <row r="787" spans="1:35">
      <c r="A787" s="8">
        <v>2020</v>
      </c>
      <c r="B787" s="8">
        <v>234</v>
      </c>
      <c r="D787" s="8" t="s">
        <v>60</v>
      </c>
      <c r="F787" t="s">
        <v>61</v>
      </c>
      <c r="G787" s="8" t="s">
        <v>26</v>
      </c>
      <c r="I787" t="s">
        <v>60</v>
      </c>
      <c r="J787" t="s">
        <v>61</v>
      </c>
      <c r="K787" s="8" t="s">
        <v>25</v>
      </c>
      <c r="L787" t="s">
        <v>26</v>
      </c>
      <c r="O787">
        <v>0</v>
      </c>
      <c r="P787">
        <v>0</v>
      </c>
      <c r="Q787">
        <v>0</v>
      </c>
      <c r="R787">
        <v>0</v>
      </c>
      <c r="S787">
        <v>0</v>
      </c>
      <c r="T787">
        <v>0</v>
      </c>
      <c r="U787">
        <v>0</v>
      </c>
      <c r="V787">
        <v>1</v>
      </c>
      <c r="W787">
        <v>0</v>
      </c>
      <c r="X787">
        <v>0</v>
      </c>
      <c r="Y787">
        <v>0</v>
      </c>
      <c r="AA787" t="s">
        <v>631</v>
      </c>
      <c r="AB787" t="s">
        <v>632</v>
      </c>
      <c r="AC787" t="s">
        <v>633</v>
      </c>
    </row>
    <row r="788" spans="1:35">
      <c r="A788" s="8">
        <v>2020</v>
      </c>
      <c r="B788" s="8">
        <v>235</v>
      </c>
      <c r="D788" s="8" t="s">
        <v>60</v>
      </c>
      <c r="F788" t="s">
        <v>61</v>
      </c>
      <c r="G788" s="8" t="s">
        <v>37</v>
      </c>
      <c r="K788" s="8" t="s">
        <v>41</v>
      </c>
      <c r="L788" t="s">
        <v>37</v>
      </c>
      <c r="O788">
        <v>0</v>
      </c>
      <c r="P788">
        <v>0</v>
      </c>
      <c r="Q788">
        <v>0</v>
      </c>
      <c r="R788">
        <v>1</v>
      </c>
      <c r="S788">
        <v>0</v>
      </c>
      <c r="T788">
        <v>1</v>
      </c>
      <c r="U788">
        <v>1</v>
      </c>
      <c r="V788">
        <v>0</v>
      </c>
      <c r="W788">
        <v>1</v>
      </c>
      <c r="X788">
        <v>0</v>
      </c>
      <c r="Y788">
        <v>0</v>
      </c>
      <c r="Z788" t="s">
        <v>634</v>
      </c>
      <c r="AA788" t="s">
        <v>635</v>
      </c>
      <c r="AB788" t="s">
        <v>636</v>
      </c>
    </row>
    <row r="789" spans="1:35">
      <c r="A789" s="8">
        <v>2020</v>
      </c>
      <c r="B789" s="8">
        <v>236</v>
      </c>
      <c r="D789" s="8" t="s">
        <v>60</v>
      </c>
      <c r="F789" t="s">
        <v>61</v>
      </c>
      <c r="G789" s="8" t="s">
        <v>37</v>
      </c>
      <c r="K789" s="8" t="s">
        <v>41</v>
      </c>
      <c r="L789" t="s">
        <v>37</v>
      </c>
      <c r="O789">
        <v>0</v>
      </c>
      <c r="P789">
        <v>0</v>
      </c>
      <c r="Q789">
        <v>0</v>
      </c>
      <c r="R789">
        <v>0</v>
      </c>
      <c r="S789">
        <v>0</v>
      </c>
      <c r="T789">
        <v>0</v>
      </c>
      <c r="U789">
        <v>0</v>
      </c>
      <c r="V789">
        <v>1</v>
      </c>
      <c r="W789">
        <v>0</v>
      </c>
      <c r="X789">
        <v>0</v>
      </c>
      <c r="Y789">
        <v>0</v>
      </c>
      <c r="AA789" t="s">
        <v>639</v>
      </c>
      <c r="AB789" t="s">
        <v>640</v>
      </c>
      <c r="AC789" t="s">
        <v>641</v>
      </c>
    </row>
    <row r="790" spans="1:35">
      <c r="A790" s="8">
        <v>2020</v>
      </c>
      <c r="B790" s="8">
        <v>237</v>
      </c>
      <c r="D790" s="8" t="s">
        <v>60</v>
      </c>
      <c r="F790" t="s">
        <v>61</v>
      </c>
      <c r="G790" s="8" t="s">
        <v>18</v>
      </c>
      <c r="H790" t="s">
        <v>19</v>
      </c>
      <c r="I790" t="s">
        <v>18</v>
      </c>
      <c r="J790" t="s">
        <v>19</v>
      </c>
      <c r="K790" s="8" t="s">
        <v>65</v>
      </c>
      <c r="L790" t="s">
        <v>18</v>
      </c>
      <c r="O790">
        <v>1</v>
      </c>
      <c r="P790">
        <v>0</v>
      </c>
      <c r="Q790">
        <v>1</v>
      </c>
      <c r="R790">
        <v>0</v>
      </c>
      <c r="S790">
        <v>0</v>
      </c>
      <c r="T790">
        <v>0</v>
      </c>
      <c r="U790">
        <v>0</v>
      </c>
      <c r="V790">
        <v>1</v>
      </c>
      <c r="W790">
        <v>0</v>
      </c>
      <c r="X790">
        <v>0</v>
      </c>
      <c r="Y790">
        <v>0</v>
      </c>
      <c r="AA790" t="s">
        <v>642</v>
      </c>
      <c r="AB790" t="s">
        <v>643</v>
      </c>
      <c r="AC790" t="s">
        <v>647</v>
      </c>
      <c r="AD790" t="s">
        <v>646</v>
      </c>
      <c r="AE790" t="s">
        <v>648</v>
      </c>
    </row>
    <row r="791" spans="1:35">
      <c r="A791" s="8">
        <v>2020</v>
      </c>
      <c r="B791" s="8">
        <v>238</v>
      </c>
      <c r="D791" s="8" t="s">
        <v>60</v>
      </c>
      <c r="E791" t="s">
        <v>28</v>
      </c>
      <c r="F791" t="s">
        <v>61</v>
      </c>
      <c r="G791" s="8" t="s">
        <v>37</v>
      </c>
      <c r="I791" t="s">
        <v>60</v>
      </c>
      <c r="J791" t="s">
        <v>61</v>
      </c>
      <c r="K791" s="8" t="s">
        <v>41</v>
      </c>
      <c r="L791" t="s">
        <v>37</v>
      </c>
      <c r="O791">
        <v>1</v>
      </c>
      <c r="P791">
        <v>0</v>
      </c>
      <c r="Q791">
        <v>0</v>
      </c>
      <c r="R791">
        <v>0</v>
      </c>
      <c r="S791">
        <v>0</v>
      </c>
      <c r="T791">
        <v>0</v>
      </c>
      <c r="U791">
        <v>0</v>
      </c>
      <c r="V791">
        <v>0</v>
      </c>
      <c r="W791">
        <v>0</v>
      </c>
      <c r="X791">
        <v>0</v>
      </c>
      <c r="Y791">
        <v>0</v>
      </c>
      <c r="AA791" t="s">
        <v>644</v>
      </c>
      <c r="AB791" t="s">
        <v>645</v>
      </c>
      <c r="AC791" t="s">
        <v>650</v>
      </c>
      <c r="AD791" t="s">
        <v>649</v>
      </c>
    </row>
    <row r="792" spans="1:35">
      <c r="A792" s="8">
        <v>2020</v>
      </c>
      <c r="B792" s="8">
        <v>239</v>
      </c>
      <c r="D792" s="8" t="s">
        <v>60</v>
      </c>
      <c r="F792" t="s">
        <v>61</v>
      </c>
      <c r="G792" s="8" t="s">
        <v>202</v>
      </c>
      <c r="H792" t="s">
        <v>205</v>
      </c>
      <c r="I792" t="s">
        <v>60</v>
      </c>
      <c r="J792" t="s">
        <v>61</v>
      </c>
      <c r="K792" s="8" t="s">
        <v>41</v>
      </c>
      <c r="O792">
        <v>0</v>
      </c>
      <c r="P792">
        <v>0</v>
      </c>
      <c r="Q792">
        <v>0</v>
      </c>
      <c r="R792">
        <v>1</v>
      </c>
      <c r="S792">
        <v>0</v>
      </c>
      <c r="T792">
        <v>0</v>
      </c>
      <c r="U792">
        <v>0</v>
      </c>
      <c r="V792">
        <v>0</v>
      </c>
      <c r="W792">
        <v>0</v>
      </c>
      <c r="X792">
        <v>0</v>
      </c>
      <c r="Y792">
        <v>0</v>
      </c>
      <c r="AA792" t="s">
        <v>651</v>
      </c>
      <c r="AB792" t="s">
        <v>652</v>
      </c>
    </row>
    <row r="793" spans="1:35">
      <c r="A793" s="8">
        <v>2020</v>
      </c>
      <c r="B793" s="8">
        <v>239</v>
      </c>
      <c r="D793" s="8" t="s">
        <v>60</v>
      </c>
      <c r="F793" t="s">
        <v>61</v>
      </c>
      <c r="G793" s="8" t="s">
        <v>203</v>
      </c>
      <c r="H793" t="s">
        <v>206</v>
      </c>
      <c r="I793" t="s">
        <v>60</v>
      </c>
      <c r="J793" t="s">
        <v>61</v>
      </c>
      <c r="K793" s="8" t="s">
        <v>41</v>
      </c>
      <c r="O793">
        <v>0</v>
      </c>
      <c r="P793">
        <v>0</v>
      </c>
      <c r="Q793">
        <v>0</v>
      </c>
      <c r="R793">
        <v>1</v>
      </c>
      <c r="S793">
        <v>0</v>
      </c>
      <c r="T793">
        <v>0</v>
      </c>
      <c r="U793">
        <v>0</v>
      </c>
      <c r="V793">
        <v>0</v>
      </c>
      <c r="W793">
        <v>0</v>
      </c>
      <c r="X793">
        <v>0</v>
      </c>
      <c r="Y793">
        <v>0</v>
      </c>
      <c r="AA793" t="s">
        <v>651</v>
      </c>
      <c r="AB793" t="s">
        <v>652</v>
      </c>
    </row>
    <row r="794" spans="1:35">
      <c r="A794" s="8">
        <v>2020</v>
      </c>
      <c r="B794" s="8">
        <v>239</v>
      </c>
      <c r="D794" s="8" t="s">
        <v>60</v>
      </c>
      <c r="F794" t="s">
        <v>61</v>
      </c>
      <c r="G794" s="8" t="s">
        <v>193</v>
      </c>
      <c r="H794" t="s">
        <v>185</v>
      </c>
      <c r="I794" t="s">
        <v>60</v>
      </c>
      <c r="J794" t="s">
        <v>61</v>
      </c>
      <c r="K794" s="8" t="s">
        <v>41</v>
      </c>
      <c r="O794">
        <v>0</v>
      </c>
      <c r="P794">
        <v>0</v>
      </c>
      <c r="Q794">
        <v>0</v>
      </c>
      <c r="R794">
        <v>1</v>
      </c>
      <c r="S794">
        <v>0</v>
      </c>
      <c r="T794">
        <v>0</v>
      </c>
      <c r="U794">
        <v>0</v>
      </c>
      <c r="V794">
        <v>0</v>
      </c>
      <c r="W794">
        <v>0</v>
      </c>
      <c r="X794">
        <v>0</v>
      </c>
      <c r="Y794">
        <v>0</v>
      </c>
      <c r="AA794" t="s">
        <v>651</v>
      </c>
      <c r="AB794" t="s">
        <v>652</v>
      </c>
    </row>
    <row r="795" spans="1:35">
      <c r="A795" s="8">
        <v>2020</v>
      </c>
      <c r="B795" s="8">
        <v>239</v>
      </c>
      <c r="D795" s="8" t="s">
        <v>60</v>
      </c>
      <c r="F795" t="s">
        <v>61</v>
      </c>
      <c r="G795" s="8" t="s">
        <v>161</v>
      </c>
      <c r="I795" t="s">
        <v>60</v>
      </c>
      <c r="J795" t="s">
        <v>61</v>
      </c>
      <c r="K795" s="8" t="s">
        <v>41</v>
      </c>
      <c r="O795">
        <v>0</v>
      </c>
      <c r="P795">
        <v>0</v>
      </c>
      <c r="Q795">
        <v>0</v>
      </c>
      <c r="R795">
        <v>1</v>
      </c>
      <c r="S795">
        <v>0</v>
      </c>
      <c r="T795">
        <v>0</v>
      </c>
      <c r="U795">
        <v>0</v>
      </c>
      <c r="V795">
        <v>0</v>
      </c>
      <c r="W795">
        <v>0</v>
      </c>
      <c r="X795">
        <v>0</v>
      </c>
      <c r="Y795">
        <v>0</v>
      </c>
      <c r="AA795" t="s">
        <v>651</v>
      </c>
      <c r="AB795" t="s">
        <v>652</v>
      </c>
    </row>
    <row r="796" spans="1:35">
      <c r="A796" s="8">
        <v>2020</v>
      </c>
      <c r="B796" s="8">
        <v>239</v>
      </c>
      <c r="D796" s="8" t="s">
        <v>60</v>
      </c>
      <c r="F796" t="s">
        <v>61</v>
      </c>
      <c r="G796" s="8" t="s">
        <v>223</v>
      </c>
      <c r="H796" t="s">
        <v>228</v>
      </c>
      <c r="I796" t="s">
        <v>60</v>
      </c>
      <c r="J796" t="s">
        <v>61</v>
      </c>
      <c r="K796" s="8" t="s">
        <v>41</v>
      </c>
      <c r="O796">
        <v>0</v>
      </c>
      <c r="P796">
        <v>0</v>
      </c>
      <c r="Q796">
        <v>0</v>
      </c>
      <c r="R796">
        <v>1</v>
      </c>
      <c r="S796">
        <v>0</v>
      </c>
      <c r="T796">
        <v>0</v>
      </c>
      <c r="U796">
        <v>0</v>
      </c>
      <c r="V796">
        <v>0</v>
      </c>
      <c r="W796">
        <v>0</v>
      </c>
      <c r="X796">
        <v>0</v>
      </c>
      <c r="Y796">
        <v>0</v>
      </c>
      <c r="AA796" t="s">
        <v>651</v>
      </c>
      <c r="AB796" t="s">
        <v>652</v>
      </c>
    </row>
    <row r="797" spans="1:35">
      <c r="A797" s="8">
        <v>2020</v>
      </c>
      <c r="B797" s="8">
        <v>240</v>
      </c>
      <c r="D797" s="8" t="s">
        <v>60</v>
      </c>
      <c r="E797" t="s">
        <v>209</v>
      </c>
      <c r="F797" t="s">
        <v>61</v>
      </c>
      <c r="G797" s="8" t="s">
        <v>18</v>
      </c>
      <c r="H797" t="s">
        <v>19</v>
      </c>
      <c r="I797" t="s">
        <v>18</v>
      </c>
      <c r="J797" t="s">
        <v>19</v>
      </c>
      <c r="K797" s="8" t="s">
        <v>65</v>
      </c>
      <c r="L797" t="s">
        <v>18</v>
      </c>
      <c r="O797">
        <v>1</v>
      </c>
      <c r="P797">
        <v>1</v>
      </c>
      <c r="Q797">
        <v>1</v>
      </c>
      <c r="R797">
        <v>0</v>
      </c>
      <c r="S797">
        <v>0</v>
      </c>
      <c r="T797">
        <v>0</v>
      </c>
      <c r="U797">
        <v>0</v>
      </c>
      <c r="V797">
        <v>0</v>
      </c>
      <c r="W797">
        <v>0</v>
      </c>
      <c r="X797">
        <v>0</v>
      </c>
      <c r="Y797">
        <v>0</v>
      </c>
      <c r="AA797" t="s">
        <v>653</v>
      </c>
      <c r="AB797" t="s">
        <v>654</v>
      </c>
      <c r="AC797" t="s">
        <v>655</v>
      </c>
      <c r="AD797" t="s">
        <v>656</v>
      </c>
    </row>
    <row r="798" spans="1:35">
      <c r="A798" s="8">
        <v>2020</v>
      </c>
      <c r="B798" s="8">
        <v>241</v>
      </c>
      <c r="D798" s="8" t="s">
        <v>60</v>
      </c>
      <c r="F798" t="s">
        <v>61</v>
      </c>
      <c r="G798" s="8" t="s">
        <v>567</v>
      </c>
      <c r="H798" t="s">
        <v>568</v>
      </c>
      <c r="I798" t="s">
        <v>223</v>
      </c>
      <c r="J798" t="s">
        <v>228</v>
      </c>
      <c r="K798" s="8" t="s">
        <v>41</v>
      </c>
      <c r="L798" t="s">
        <v>161</v>
      </c>
      <c r="M798" t="s">
        <v>37</v>
      </c>
      <c r="N798" t="s">
        <v>223</v>
      </c>
      <c r="O798">
        <v>0</v>
      </c>
      <c r="P798">
        <v>0</v>
      </c>
      <c r="Q798">
        <v>0</v>
      </c>
      <c r="R798">
        <v>1</v>
      </c>
      <c r="S798">
        <v>0</v>
      </c>
      <c r="T798">
        <v>1</v>
      </c>
      <c r="U798">
        <v>1</v>
      </c>
      <c r="V798">
        <v>0</v>
      </c>
      <c r="W798">
        <v>1</v>
      </c>
      <c r="X798">
        <v>0</v>
      </c>
      <c r="Y798">
        <v>0</v>
      </c>
      <c r="Z798" t="s">
        <v>657</v>
      </c>
      <c r="AA798" t="s">
        <v>659</v>
      </c>
      <c r="AB798" t="s">
        <v>660</v>
      </c>
      <c r="AC798" t="s">
        <v>661</v>
      </c>
      <c r="AD798" t="s">
        <v>662</v>
      </c>
      <c r="AI798" t="s">
        <v>658</v>
      </c>
    </row>
    <row r="799" spans="1:35">
      <c r="A799" s="8">
        <v>2020</v>
      </c>
      <c r="B799" s="8">
        <v>241</v>
      </c>
      <c r="D799" s="8" t="s">
        <v>60</v>
      </c>
      <c r="F799" t="s">
        <v>61</v>
      </c>
      <c r="G799" s="8" t="s">
        <v>610</v>
      </c>
      <c r="I799" t="s">
        <v>223</v>
      </c>
      <c r="J799" t="s">
        <v>228</v>
      </c>
      <c r="K799" s="8" t="s">
        <v>41</v>
      </c>
      <c r="L799" t="s">
        <v>161</v>
      </c>
      <c r="M799" t="s">
        <v>37</v>
      </c>
      <c r="N799" t="s">
        <v>223</v>
      </c>
      <c r="O799">
        <v>0</v>
      </c>
      <c r="P799">
        <v>0</v>
      </c>
      <c r="Q799">
        <v>0</v>
      </c>
      <c r="R799">
        <v>1</v>
      </c>
      <c r="S799">
        <v>0</v>
      </c>
      <c r="T799">
        <v>1</v>
      </c>
      <c r="U799">
        <v>1</v>
      </c>
      <c r="V799">
        <v>0</v>
      </c>
      <c r="W799">
        <v>1</v>
      </c>
      <c r="X799">
        <v>0</v>
      </c>
      <c r="Y799">
        <v>0</v>
      </c>
      <c r="Z799" t="s">
        <v>657</v>
      </c>
      <c r="AA799" t="s">
        <v>659</v>
      </c>
      <c r="AB799" t="s">
        <v>660</v>
      </c>
      <c r="AC799" t="s">
        <v>661</v>
      </c>
      <c r="AD799" t="s">
        <v>662</v>
      </c>
    </row>
    <row r="800" spans="1:35">
      <c r="A800" s="8">
        <v>2020</v>
      </c>
      <c r="B800" s="8">
        <v>241</v>
      </c>
      <c r="D800" s="8" t="s">
        <v>60</v>
      </c>
      <c r="F800" t="s">
        <v>61</v>
      </c>
      <c r="G800" s="8" t="s">
        <v>611</v>
      </c>
      <c r="H800" t="s">
        <v>617</v>
      </c>
      <c r="I800" t="s">
        <v>223</v>
      </c>
      <c r="J800" t="s">
        <v>228</v>
      </c>
      <c r="K800" s="8" t="s">
        <v>41</v>
      </c>
      <c r="L800" t="s">
        <v>161</v>
      </c>
      <c r="M800" t="s">
        <v>37</v>
      </c>
      <c r="N800" t="s">
        <v>223</v>
      </c>
      <c r="O800">
        <v>0</v>
      </c>
      <c r="P800">
        <v>0</v>
      </c>
      <c r="Q800">
        <v>0</v>
      </c>
      <c r="R800">
        <v>1</v>
      </c>
      <c r="S800">
        <v>0</v>
      </c>
      <c r="T800">
        <v>1</v>
      </c>
      <c r="U800">
        <v>1</v>
      </c>
      <c r="V800">
        <v>0</v>
      </c>
      <c r="W800">
        <v>1</v>
      </c>
      <c r="X800">
        <v>0</v>
      </c>
      <c r="Y800">
        <v>0</v>
      </c>
      <c r="Z800" t="s">
        <v>657</v>
      </c>
      <c r="AA800" t="s">
        <v>659</v>
      </c>
      <c r="AB800" t="s">
        <v>660</v>
      </c>
      <c r="AC800" t="s">
        <v>661</v>
      </c>
      <c r="AD800" t="s">
        <v>662</v>
      </c>
    </row>
    <row r="801" spans="1:30">
      <c r="A801" s="8">
        <v>2020</v>
      </c>
      <c r="B801" s="8">
        <v>241</v>
      </c>
      <c r="D801" s="8" t="s">
        <v>60</v>
      </c>
      <c r="F801" t="s">
        <v>61</v>
      </c>
      <c r="G801" s="8" t="s">
        <v>154</v>
      </c>
      <c r="H801" t="s">
        <v>187</v>
      </c>
      <c r="I801" t="s">
        <v>223</v>
      </c>
      <c r="J801" t="s">
        <v>228</v>
      </c>
      <c r="K801" s="8" t="s">
        <v>41</v>
      </c>
      <c r="L801" t="s">
        <v>161</v>
      </c>
      <c r="M801" t="s">
        <v>37</v>
      </c>
      <c r="N801" t="s">
        <v>223</v>
      </c>
      <c r="O801">
        <v>0</v>
      </c>
      <c r="P801">
        <v>0</v>
      </c>
      <c r="Q801">
        <v>0</v>
      </c>
      <c r="R801">
        <v>1</v>
      </c>
      <c r="S801">
        <v>0</v>
      </c>
      <c r="T801">
        <v>1</v>
      </c>
      <c r="U801">
        <v>1</v>
      </c>
      <c r="V801">
        <v>0</v>
      </c>
      <c r="W801">
        <v>1</v>
      </c>
      <c r="X801">
        <v>0</v>
      </c>
      <c r="Y801">
        <v>0</v>
      </c>
      <c r="Z801" t="s">
        <v>657</v>
      </c>
      <c r="AA801" t="s">
        <v>659</v>
      </c>
      <c r="AB801" t="s">
        <v>660</v>
      </c>
      <c r="AC801" t="s">
        <v>661</v>
      </c>
      <c r="AD801" t="s">
        <v>662</v>
      </c>
    </row>
    <row r="802" spans="1:30">
      <c r="A802" s="8">
        <v>2020</v>
      </c>
      <c r="B802" s="8">
        <v>241</v>
      </c>
      <c r="D802" s="8" t="s">
        <v>60</v>
      </c>
      <c r="F802" t="s">
        <v>61</v>
      </c>
      <c r="G802" s="8" t="s">
        <v>161</v>
      </c>
      <c r="I802" t="s">
        <v>223</v>
      </c>
      <c r="J802" t="s">
        <v>228</v>
      </c>
      <c r="K802" s="8" t="s">
        <v>41</v>
      </c>
      <c r="L802" t="s">
        <v>161</v>
      </c>
      <c r="M802" t="s">
        <v>37</v>
      </c>
      <c r="N802" t="s">
        <v>223</v>
      </c>
      <c r="O802">
        <v>0</v>
      </c>
      <c r="P802">
        <v>0</v>
      </c>
      <c r="Q802">
        <v>0</v>
      </c>
      <c r="R802">
        <v>1</v>
      </c>
      <c r="S802">
        <v>0</v>
      </c>
      <c r="T802">
        <v>1</v>
      </c>
      <c r="U802">
        <v>1</v>
      </c>
      <c r="V802">
        <v>0</v>
      </c>
      <c r="W802">
        <v>1</v>
      </c>
      <c r="X802">
        <v>0</v>
      </c>
      <c r="Y802">
        <v>0</v>
      </c>
      <c r="Z802" t="s">
        <v>657</v>
      </c>
      <c r="AA802" t="s">
        <v>659</v>
      </c>
      <c r="AB802" t="s">
        <v>660</v>
      </c>
      <c r="AC802" t="s">
        <v>661</v>
      </c>
      <c r="AD802" t="s">
        <v>662</v>
      </c>
    </row>
    <row r="803" spans="1:30">
      <c r="A803" s="8">
        <v>2020</v>
      </c>
      <c r="B803" s="8">
        <v>241</v>
      </c>
      <c r="D803" s="8" t="s">
        <v>60</v>
      </c>
      <c r="F803" t="s">
        <v>61</v>
      </c>
      <c r="G803" s="8" t="s">
        <v>22</v>
      </c>
      <c r="H803" t="s">
        <v>24</v>
      </c>
      <c r="I803" t="s">
        <v>223</v>
      </c>
      <c r="J803" t="s">
        <v>228</v>
      </c>
      <c r="K803" s="8" t="s">
        <v>41</v>
      </c>
      <c r="L803" t="s">
        <v>161</v>
      </c>
      <c r="M803" t="s">
        <v>37</v>
      </c>
      <c r="N803" t="s">
        <v>223</v>
      </c>
      <c r="O803">
        <v>0</v>
      </c>
      <c r="P803">
        <v>0</v>
      </c>
      <c r="Q803">
        <v>0</v>
      </c>
      <c r="R803">
        <v>1</v>
      </c>
      <c r="S803">
        <v>0</v>
      </c>
      <c r="T803">
        <v>1</v>
      </c>
      <c r="U803">
        <v>1</v>
      </c>
      <c r="V803">
        <v>0</v>
      </c>
      <c r="W803">
        <v>1</v>
      </c>
      <c r="X803">
        <v>0</v>
      </c>
      <c r="Y803">
        <v>0</v>
      </c>
      <c r="Z803" t="s">
        <v>657</v>
      </c>
      <c r="AA803" t="s">
        <v>659</v>
      </c>
      <c r="AB803" t="s">
        <v>660</v>
      </c>
      <c r="AC803" t="s">
        <v>661</v>
      </c>
      <c r="AD803" t="s">
        <v>662</v>
      </c>
    </row>
    <row r="804" spans="1:30">
      <c r="A804" s="8">
        <v>2020</v>
      </c>
      <c r="B804" s="8">
        <v>241</v>
      </c>
      <c r="D804" s="8" t="s">
        <v>60</v>
      </c>
      <c r="F804" t="s">
        <v>61</v>
      </c>
      <c r="G804" s="8" t="s">
        <v>222</v>
      </c>
      <c r="H804" t="s">
        <v>227</v>
      </c>
      <c r="I804" t="s">
        <v>223</v>
      </c>
      <c r="J804" t="s">
        <v>228</v>
      </c>
      <c r="K804" s="8" t="s">
        <v>41</v>
      </c>
      <c r="L804" t="s">
        <v>161</v>
      </c>
      <c r="M804" t="s">
        <v>37</v>
      </c>
      <c r="N804" t="s">
        <v>223</v>
      </c>
      <c r="O804">
        <v>0</v>
      </c>
      <c r="P804">
        <v>0</v>
      </c>
      <c r="Q804">
        <v>0</v>
      </c>
      <c r="R804">
        <v>1</v>
      </c>
      <c r="S804">
        <v>0</v>
      </c>
      <c r="T804">
        <v>1</v>
      </c>
      <c r="U804">
        <v>1</v>
      </c>
      <c r="V804">
        <v>0</v>
      </c>
      <c r="W804">
        <v>1</v>
      </c>
      <c r="X804">
        <v>0</v>
      </c>
      <c r="Y804">
        <v>0</v>
      </c>
      <c r="Z804" t="s">
        <v>657</v>
      </c>
      <c r="AA804" t="s">
        <v>659</v>
      </c>
      <c r="AB804" t="s">
        <v>660</v>
      </c>
      <c r="AC804" t="s">
        <v>661</v>
      </c>
      <c r="AD804" t="s">
        <v>662</v>
      </c>
    </row>
    <row r="805" spans="1:30">
      <c r="A805" s="8">
        <v>2020</v>
      </c>
      <c r="B805" s="8">
        <v>241</v>
      </c>
      <c r="D805" s="8" t="s">
        <v>60</v>
      </c>
      <c r="F805" t="s">
        <v>61</v>
      </c>
      <c r="G805" s="8" t="s">
        <v>223</v>
      </c>
      <c r="H805" t="s">
        <v>228</v>
      </c>
      <c r="I805" t="s">
        <v>223</v>
      </c>
      <c r="J805" t="s">
        <v>228</v>
      </c>
      <c r="K805" s="8" t="s">
        <v>41</v>
      </c>
      <c r="L805" t="s">
        <v>161</v>
      </c>
      <c r="M805" t="s">
        <v>37</v>
      </c>
      <c r="N805" t="s">
        <v>223</v>
      </c>
      <c r="O805">
        <v>0</v>
      </c>
      <c r="P805">
        <v>0</v>
      </c>
      <c r="Q805">
        <v>1</v>
      </c>
      <c r="R805">
        <v>1</v>
      </c>
      <c r="S805">
        <v>0</v>
      </c>
      <c r="T805">
        <v>1</v>
      </c>
      <c r="U805">
        <v>1</v>
      </c>
      <c r="V805">
        <v>0</v>
      </c>
      <c r="W805">
        <v>1</v>
      </c>
      <c r="X805">
        <v>0</v>
      </c>
      <c r="Y805">
        <v>0</v>
      </c>
      <c r="Z805" t="s">
        <v>657</v>
      </c>
      <c r="AA805" t="s">
        <v>659</v>
      </c>
      <c r="AB805" t="s">
        <v>660</v>
      </c>
      <c r="AC805" t="s">
        <v>661</v>
      </c>
      <c r="AD805" t="s">
        <v>662</v>
      </c>
    </row>
    <row r="806" spans="1:30">
      <c r="A806" s="8">
        <v>2020</v>
      </c>
      <c r="B806" s="8">
        <v>241</v>
      </c>
      <c r="D806" s="8" t="s">
        <v>60</v>
      </c>
      <c r="F806" t="s">
        <v>61</v>
      </c>
      <c r="G806" s="8" t="s">
        <v>204</v>
      </c>
      <c r="H806" t="s">
        <v>207</v>
      </c>
      <c r="I806" t="s">
        <v>223</v>
      </c>
      <c r="J806" t="s">
        <v>228</v>
      </c>
      <c r="K806" s="8" t="s">
        <v>41</v>
      </c>
      <c r="L806" t="s">
        <v>161</v>
      </c>
      <c r="M806" t="s">
        <v>37</v>
      </c>
      <c r="N806" t="s">
        <v>223</v>
      </c>
      <c r="O806">
        <v>0</v>
      </c>
      <c r="P806">
        <v>0</v>
      </c>
      <c r="Q806">
        <v>0</v>
      </c>
      <c r="R806">
        <v>1</v>
      </c>
      <c r="S806">
        <v>0</v>
      </c>
      <c r="T806">
        <v>1</v>
      </c>
      <c r="U806">
        <v>1</v>
      </c>
      <c r="V806">
        <v>0</v>
      </c>
      <c r="W806">
        <v>1</v>
      </c>
      <c r="X806">
        <v>0</v>
      </c>
      <c r="Y806">
        <v>0</v>
      </c>
      <c r="Z806" t="s">
        <v>657</v>
      </c>
      <c r="AA806" t="s">
        <v>659</v>
      </c>
      <c r="AB806" t="s">
        <v>660</v>
      </c>
      <c r="AC806" t="s">
        <v>661</v>
      </c>
      <c r="AD806" t="s">
        <v>662</v>
      </c>
    </row>
    <row r="807" spans="1:30">
      <c r="A807" s="8">
        <v>2020</v>
      </c>
      <c r="B807" s="8">
        <v>241</v>
      </c>
      <c r="D807" s="8" t="s">
        <v>60</v>
      </c>
      <c r="F807" t="s">
        <v>61</v>
      </c>
      <c r="G807" s="8" t="s">
        <v>612</v>
      </c>
      <c r="H807" t="s">
        <v>618</v>
      </c>
      <c r="I807" t="s">
        <v>223</v>
      </c>
      <c r="J807" t="s">
        <v>228</v>
      </c>
      <c r="K807" s="8" t="s">
        <v>41</v>
      </c>
      <c r="L807" t="s">
        <v>161</v>
      </c>
      <c r="M807" t="s">
        <v>37</v>
      </c>
      <c r="N807" t="s">
        <v>223</v>
      </c>
      <c r="O807">
        <v>0</v>
      </c>
      <c r="P807">
        <v>0</v>
      </c>
      <c r="Q807">
        <v>0</v>
      </c>
      <c r="R807">
        <v>1</v>
      </c>
      <c r="S807">
        <v>0</v>
      </c>
      <c r="T807">
        <v>1</v>
      </c>
      <c r="U807">
        <v>1</v>
      </c>
      <c r="V807">
        <v>0</v>
      </c>
      <c r="W807">
        <v>1</v>
      </c>
      <c r="X807">
        <v>0</v>
      </c>
      <c r="Y807">
        <v>0</v>
      </c>
      <c r="Z807" t="s">
        <v>657</v>
      </c>
      <c r="AA807" t="s">
        <v>659</v>
      </c>
      <c r="AB807" t="s">
        <v>660</v>
      </c>
      <c r="AC807" t="s">
        <v>661</v>
      </c>
      <c r="AD807" t="s">
        <v>662</v>
      </c>
    </row>
    <row r="808" spans="1:30">
      <c r="A808" s="8">
        <v>2020</v>
      </c>
      <c r="B808" s="8">
        <v>241</v>
      </c>
      <c r="D808" s="8" t="s">
        <v>60</v>
      </c>
      <c r="F808" t="s">
        <v>61</v>
      </c>
      <c r="G808" s="8" t="s">
        <v>613</v>
      </c>
      <c r="H808" t="s">
        <v>619</v>
      </c>
      <c r="I808" t="s">
        <v>223</v>
      </c>
      <c r="J808" t="s">
        <v>228</v>
      </c>
      <c r="K808" s="8" t="s">
        <v>41</v>
      </c>
      <c r="L808" t="s">
        <v>161</v>
      </c>
      <c r="M808" t="s">
        <v>37</v>
      </c>
      <c r="N808" t="s">
        <v>223</v>
      </c>
      <c r="O808">
        <v>0</v>
      </c>
      <c r="P808">
        <v>0</v>
      </c>
      <c r="Q808">
        <v>0</v>
      </c>
      <c r="R808">
        <v>1</v>
      </c>
      <c r="S808">
        <v>0</v>
      </c>
      <c r="T808">
        <v>1</v>
      </c>
      <c r="U808">
        <v>1</v>
      </c>
      <c r="V808">
        <v>0</v>
      </c>
      <c r="W808">
        <v>1</v>
      </c>
      <c r="X808">
        <v>0</v>
      </c>
      <c r="Y808">
        <v>0</v>
      </c>
      <c r="Z808" t="s">
        <v>657</v>
      </c>
      <c r="AA808" t="s">
        <v>659</v>
      </c>
      <c r="AB808" t="s">
        <v>660</v>
      </c>
      <c r="AC808" t="s">
        <v>661</v>
      </c>
      <c r="AD808" t="s">
        <v>662</v>
      </c>
    </row>
    <row r="809" spans="1:30">
      <c r="A809" s="8">
        <v>2020</v>
      </c>
      <c r="B809" s="8">
        <v>241</v>
      </c>
      <c r="D809" s="8" t="s">
        <v>60</v>
      </c>
      <c r="F809" t="s">
        <v>61</v>
      </c>
      <c r="G809" s="8" t="s">
        <v>377</v>
      </c>
      <c r="H809" t="s">
        <v>378</v>
      </c>
      <c r="I809" t="s">
        <v>223</v>
      </c>
      <c r="J809" t="s">
        <v>228</v>
      </c>
      <c r="K809" s="8" t="s">
        <v>41</v>
      </c>
      <c r="L809" t="s">
        <v>161</v>
      </c>
      <c r="M809" t="s">
        <v>37</v>
      </c>
      <c r="N809" t="s">
        <v>223</v>
      </c>
      <c r="O809">
        <v>0</v>
      </c>
      <c r="P809">
        <v>0</v>
      </c>
      <c r="Q809">
        <v>0</v>
      </c>
      <c r="R809">
        <v>1</v>
      </c>
      <c r="S809">
        <v>0</v>
      </c>
      <c r="T809">
        <v>1</v>
      </c>
      <c r="U809">
        <v>1</v>
      </c>
      <c r="V809">
        <v>0</v>
      </c>
      <c r="W809">
        <v>1</v>
      </c>
      <c r="X809">
        <v>0</v>
      </c>
      <c r="Y809">
        <v>0</v>
      </c>
      <c r="Z809" t="s">
        <v>657</v>
      </c>
      <c r="AA809" t="s">
        <v>659</v>
      </c>
      <c r="AB809" t="s">
        <v>660</v>
      </c>
      <c r="AC809" t="s">
        <v>661</v>
      </c>
      <c r="AD809" t="s">
        <v>662</v>
      </c>
    </row>
    <row r="810" spans="1:30">
      <c r="A810" s="8">
        <v>2020</v>
      </c>
      <c r="B810" s="8">
        <v>241</v>
      </c>
      <c r="D810" s="8" t="s">
        <v>60</v>
      </c>
      <c r="F810" t="s">
        <v>61</v>
      </c>
      <c r="G810" s="8" t="s">
        <v>203</v>
      </c>
      <c r="H810" t="s">
        <v>206</v>
      </c>
      <c r="I810" t="s">
        <v>223</v>
      </c>
      <c r="J810" t="s">
        <v>228</v>
      </c>
      <c r="K810" s="8" t="s">
        <v>41</v>
      </c>
      <c r="L810" t="s">
        <v>161</v>
      </c>
      <c r="M810" t="s">
        <v>37</v>
      </c>
      <c r="N810" t="s">
        <v>223</v>
      </c>
      <c r="O810">
        <v>0</v>
      </c>
      <c r="P810">
        <v>0</v>
      </c>
      <c r="Q810">
        <v>0</v>
      </c>
      <c r="R810">
        <v>1</v>
      </c>
      <c r="S810">
        <v>0</v>
      </c>
      <c r="T810">
        <v>1</v>
      </c>
      <c r="U810">
        <v>1</v>
      </c>
      <c r="V810">
        <v>0</v>
      </c>
      <c r="W810">
        <v>1</v>
      </c>
      <c r="X810">
        <v>0</v>
      </c>
      <c r="Y810">
        <v>0</v>
      </c>
      <c r="Z810" t="s">
        <v>657</v>
      </c>
      <c r="AA810" t="s">
        <v>659</v>
      </c>
      <c r="AB810" t="s">
        <v>660</v>
      </c>
      <c r="AC810" t="s">
        <v>661</v>
      </c>
      <c r="AD810" t="s">
        <v>662</v>
      </c>
    </row>
    <row r="811" spans="1:30">
      <c r="A811" s="8">
        <v>2020</v>
      </c>
      <c r="B811" s="8">
        <v>241</v>
      </c>
      <c r="D811" s="8" t="s">
        <v>60</v>
      </c>
      <c r="F811" t="s">
        <v>61</v>
      </c>
      <c r="G811" s="8" t="s">
        <v>157</v>
      </c>
      <c r="H811" t="s">
        <v>190</v>
      </c>
      <c r="I811" t="s">
        <v>223</v>
      </c>
      <c r="J811" t="s">
        <v>228</v>
      </c>
      <c r="K811" s="8" t="s">
        <v>41</v>
      </c>
      <c r="L811" t="s">
        <v>161</v>
      </c>
      <c r="M811" t="s">
        <v>37</v>
      </c>
      <c r="N811" t="s">
        <v>223</v>
      </c>
      <c r="O811">
        <v>0</v>
      </c>
      <c r="P811">
        <v>0</v>
      </c>
      <c r="Q811">
        <v>0</v>
      </c>
      <c r="R811">
        <v>1</v>
      </c>
      <c r="S811">
        <v>0</v>
      </c>
      <c r="T811">
        <v>1</v>
      </c>
      <c r="U811">
        <v>1</v>
      </c>
      <c r="V811">
        <v>0</v>
      </c>
      <c r="W811">
        <v>1</v>
      </c>
      <c r="X811">
        <v>0</v>
      </c>
      <c r="Y811">
        <v>0</v>
      </c>
      <c r="Z811" t="s">
        <v>657</v>
      </c>
      <c r="AA811" t="s">
        <v>659</v>
      </c>
      <c r="AB811" t="s">
        <v>660</v>
      </c>
      <c r="AC811" t="s">
        <v>661</v>
      </c>
      <c r="AD811" t="s">
        <v>662</v>
      </c>
    </row>
    <row r="812" spans="1:30">
      <c r="A812" s="8">
        <v>2020</v>
      </c>
      <c r="B812" s="8">
        <v>241</v>
      </c>
      <c r="D812" s="8" t="s">
        <v>60</v>
      </c>
      <c r="F812" t="s">
        <v>61</v>
      </c>
      <c r="G812" s="8" t="s">
        <v>155</v>
      </c>
      <c r="H812" t="s">
        <v>188</v>
      </c>
      <c r="I812" t="s">
        <v>223</v>
      </c>
      <c r="J812" t="s">
        <v>228</v>
      </c>
      <c r="K812" s="8" t="s">
        <v>41</v>
      </c>
      <c r="L812" t="s">
        <v>161</v>
      </c>
      <c r="M812" t="s">
        <v>37</v>
      </c>
      <c r="N812" t="s">
        <v>223</v>
      </c>
      <c r="O812">
        <v>0</v>
      </c>
      <c r="P812">
        <v>0</v>
      </c>
      <c r="Q812">
        <v>0</v>
      </c>
      <c r="R812">
        <v>1</v>
      </c>
      <c r="S812">
        <v>0</v>
      </c>
      <c r="T812">
        <v>1</v>
      </c>
      <c r="U812">
        <v>1</v>
      </c>
      <c r="V812">
        <v>0</v>
      </c>
      <c r="W812">
        <v>1</v>
      </c>
      <c r="X812">
        <v>0</v>
      </c>
      <c r="Y812">
        <v>0</v>
      </c>
      <c r="Z812" t="s">
        <v>657</v>
      </c>
      <c r="AA812" t="s">
        <v>659</v>
      </c>
      <c r="AB812" t="s">
        <v>660</v>
      </c>
      <c r="AC812" t="s">
        <v>661</v>
      </c>
      <c r="AD812" t="s">
        <v>662</v>
      </c>
    </row>
    <row r="813" spans="1:30">
      <c r="A813" s="8">
        <v>2020</v>
      </c>
      <c r="B813" s="8">
        <v>241</v>
      </c>
      <c r="D813" s="8" t="s">
        <v>60</v>
      </c>
      <c r="F813" t="s">
        <v>61</v>
      </c>
      <c r="G813" s="8" t="s">
        <v>615</v>
      </c>
      <c r="H813" t="s">
        <v>620</v>
      </c>
      <c r="I813" t="s">
        <v>223</v>
      </c>
      <c r="J813" t="s">
        <v>228</v>
      </c>
      <c r="K813" s="8" t="s">
        <v>41</v>
      </c>
      <c r="L813" t="s">
        <v>161</v>
      </c>
      <c r="M813" t="s">
        <v>37</v>
      </c>
      <c r="N813" t="s">
        <v>223</v>
      </c>
      <c r="O813">
        <v>0</v>
      </c>
      <c r="P813">
        <v>0</v>
      </c>
      <c r="Q813">
        <v>0</v>
      </c>
      <c r="R813">
        <v>1</v>
      </c>
      <c r="S813">
        <v>0</v>
      </c>
      <c r="T813">
        <v>1</v>
      </c>
      <c r="U813">
        <v>1</v>
      </c>
      <c r="V813">
        <v>0</v>
      </c>
      <c r="W813">
        <v>1</v>
      </c>
      <c r="X813">
        <v>0</v>
      </c>
      <c r="Y813">
        <v>0</v>
      </c>
      <c r="Z813" t="s">
        <v>657</v>
      </c>
      <c r="AA813" t="s">
        <v>659</v>
      </c>
      <c r="AB813" t="s">
        <v>660</v>
      </c>
      <c r="AC813" t="s">
        <v>661</v>
      </c>
      <c r="AD813" t="s">
        <v>662</v>
      </c>
    </row>
    <row r="814" spans="1:30">
      <c r="A814" s="8">
        <v>2020</v>
      </c>
      <c r="B814" s="8">
        <v>241</v>
      </c>
      <c r="D814" s="8" t="s">
        <v>60</v>
      </c>
      <c r="F814" t="s">
        <v>61</v>
      </c>
      <c r="G814" s="8" t="s">
        <v>202</v>
      </c>
      <c r="H814" t="s">
        <v>205</v>
      </c>
      <c r="I814" t="s">
        <v>223</v>
      </c>
      <c r="J814" t="s">
        <v>228</v>
      </c>
      <c r="K814" s="8" t="s">
        <v>41</v>
      </c>
      <c r="L814" t="s">
        <v>161</v>
      </c>
      <c r="M814" t="s">
        <v>37</v>
      </c>
      <c r="N814" t="s">
        <v>223</v>
      </c>
      <c r="O814">
        <v>0</v>
      </c>
      <c r="P814">
        <v>0</v>
      </c>
      <c r="Q814">
        <v>0</v>
      </c>
      <c r="R814">
        <v>1</v>
      </c>
      <c r="S814">
        <v>0</v>
      </c>
      <c r="T814">
        <v>1</v>
      </c>
      <c r="U814">
        <v>1</v>
      </c>
      <c r="V814">
        <v>0</v>
      </c>
      <c r="W814">
        <v>1</v>
      </c>
      <c r="X814">
        <v>0</v>
      </c>
      <c r="Y814">
        <v>0</v>
      </c>
      <c r="Z814" t="s">
        <v>657</v>
      </c>
      <c r="AA814" t="s">
        <v>659</v>
      </c>
      <c r="AB814" t="s">
        <v>660</v>
      </c>
      <c r="AC814" t="s">
        <v>661</v>
      </c>
      <c r="AD814" t="s">
        <v>662</v>
      </c>
    </row>
    <row r="815" spans="1:30">
      <c r="A815" s="8">
        <v>2020</v>
      </c>
      <c r="B815" s="8">
        <v>241</v>
      </c>
      <c r="D815" s="8" t="s">
        <v>60</v>
      </c>
      <c r="F815" t="s">
        <v>61</v>
      </c>
      <c r="G815" s="8" t="s">
        <v>37</v>
      </c>
      <c r="I815" t="s">
        <v>223</v>
      </c>
      <c r="J815" t="s">
        <v>228</v>
      </c>
      <c r="K815" s="8" t="s">
        <v>41</v>
      </c>
      <c r="L815" t="s">
        <v>161</v>
      </c>
      <c r="M815" t="s">
        <v>37</v>
      </c>
      <c r="N815" t="s">
        <v>223</v>
      </c>
      <c r="O815">
        <v>0</v>
      </c>
      <c r="P815">
        <v>0</v>
      </c>
      <c r="Q815">
        <v>0</v>
      </c>
      <c r="R815">
        <v>1</v>
      </c>
      <c r="S815">
        <v>0</v>
      </c>
      <c r="T815">
        <v>1</v>
      </c>
      <c r="U815">
        <v>1</v>
      </c>
      <c r="V815">
        <v>0</v>
      </c>
      <c r="W815">
        <v>1</v>
      </c>
      <c r="X815">
        <v>0</v>
      </c>
      <c r="Y815">
        <v>0</v>
      </c>
      <c r="Z815" t="s">
        <v>657</v>
      </c>
      <c r="AA815" t="s">
        <v>659</v>
      </c>
      <c r="AB815" t="s">
        <v>660</v>
      </c>
      <c r="AC815" t="s">
        <v>661</v>
      </c>
      <c r="AD815" t="s">
        <v>662</v>
      </c>
    </row>
    <row r="816" spans="1:30">
      <c r="A816" s="8">
        <v>2020</v>
      </c>
      <c r="B816" s="8">
        <v>241</v>
      </c>
      <c r="D816" s="8" t="s">
        <v>60</v>
      </c>
      <c r="F816" t="s">
        <v>61</v>
      </c>
      <c r="G816" s="8" t="s">
        <v>193</v>
      </c>
      <c r="H816" t="s">
        <v>185</v>
      </c>
      <c r="I816" t="s">
        <v>223</v>
      </c>
      <c r="J816" t="s">
        <v>228</v>
      </c>
      <c r="K816" s="8" t="s">
        <v>41</v>
      </c>
      <c r="L816" t="s">
        <v>161</v>
      </c>
      <c r="M816" t="s">
        <v>37</v>
      </c>
      <c r="N816" t="s">
        <v>223</v>
      </c>
      <c r="O816">
        <v>0</v>
      </c>
      <c r="P816">
        <v>0</v>
      </c>
      <c r="Q816">
        <v>0</v>
      </c>
      <c r="R816">
        <v>1</v>
      </c>
      <c r="S816">
        <v>0</v>
      </c>
      <c r="T816">
        <v>1</v>
      </c>
      <c r="U816">
        <v>1</v>
      </c>
      <c r="V816">
        <v>0</v>
      </c>
      <c r="W816">
        <v>1</v>
      </c>
      <c r="X816">
        <v>0</v>
      </c>
      <c r="Y816">
        <v>0</v>
      </c>
      <c r="Z816" t="s">
        <v>657</v>
      </c>
      <c r="AA816" t="s">
        <v>659</v>
      </c>
      <c r="AB816" t="s">
        <v>660</v>
      </c>
      <c r="AC816" t="s">
        <v>661</v>
      </c>
      <c r="AD816" t="s">
        <v>662</v>
      </c>
    </row>
    <row r="817" spans="1:30">
      <c r="A817" s="8">
        <v>2020</v>
      </c>
      <c r="B817" s="8">
        <v>241</v>
      </c>
      <c r="D817" s="8" t="s">
        <v>60</v>
      </c>
      <c r="F817" t="s">
        <v>61</v>
      </c>
      <c r="G817" s="8" t="s">
        <v>616</v>
      </c>
      <c r="I817" t="s">
        <v>223</v>
      </c>
      <c r="J817" t="s">
        <v>228</v>
      </c>
      <c r="K817" s="8" t="s">
        <v>41</v>
      </c>
      <c r="L817" t="s">
        <v>161</v>
      </c>
      <c r="M817" t="s">
        <v>37</v>
      </c>
      <c r="N817" t="s">
        <v>223</v>
      </c>
      <c r="O817">
        <v>0</v>
      </c>
      <c r="P817">
        <v>0</v>
      </c>
      <c r="Q817">
        <v>0</v>
      </c>
      <c r="R817">
        <v>1</v>
      </c>
      <c r="S817">
        <v>0</v>
      </c>
      <c r="T817">
        <v>1</v>
      </c>
      <c r="U817">
        <v>1</v>
      </c>
      <c r="V817">
        <v>0</v>
      </c>
      <c r="W817">
        <v>1</v>
      </c>
      <c r="X817">
        <v>0</v>
      </c>
      <c r="Y817">
        <v>0</v>
      </c>
      <c r="Z817" t="s">
        <v>657</v>
      </c>
      <c r="AA817" t="s">
        <v>659</v>
      </c>
      <c r="AB817" t="s">
        <v>660</v>
      </c>
      <c r="AC817" t="s">
        <v>661</v>
      </c>
      <c r="AD817" t="s">
        <v>662</v>
      </c>
    </row>
    <row r="818" spans="1:30">
      <c r="A818" s="8">
        <v>2020</v>
      </c>
      <c r="B818" s="8">
        <v>241</v>
      </c>
      <c r="D818" s="8" t="s">
        <v>60</v>
      </c>
      <c r="F818" t="s">
        <v>61</v>
      </c>
      <c r="G818" s="8" t="s">
        <v>663</v>
      </c>
      <c r="H818" t="s">
        <v>681</v>
      </c>
      <c r="I818" t="s">
        <v>223</v>
      </c>
      <c r="J818" t="s">
        <v>228</v>
      </c>
      <c r="K818" s="8" t="s">
        <v>41</v>
      </c>
      <c r="L818" t="s">
        <v>161</v>
      </c>
      <c r="M818" t="s">
        <v>37</v>
      </c>
      <c r="N818" t="s">
        <v>223</v>
      </c>
      <c r="O818">
        <v>0</v>
      </c>
      <c r="P818">
        <v>0</v>
      </c>
      <c r="Q818">
        <v>0</v>
      </c>
      <c r="R818">
        <v>1</v>
      </c>
      <c r="S818">
        <v>0</v>
      </c>
      <c r="T818">
        <v>1</v>
      </c>
      <c r="U818">
        <v>1</v>
      </c>
      <c r="V818">
        <v>0</v>
      </c>
      <c r="W818">
        <v>1</v>
      </c>
      <c r="X818">
        <v>0</v>
      </c>
      <c r="Y818">
        <v>0</v>
      </c>
      <c r="Z818" t="s">
        <v>657</v>
      </c>
      <c r="AA818" t="s">
        <v>659</v>
      </c>
      <c r="AB818" t="s">
        <v>660</v>
      </c>
      <c r="AC818" t="s">
        <v>661</v>
      </c>
      <c r="AD818" t="s">
        <v>662</v>
      </c>
    </row>
    <row r="819" spans="1:30">
      <c r="A819" s="8">
        <v>2020</v>
      </c>
      <c r="B819" s="8">
        <v>241</v>
      </c>
      <c r="D819" s="8" t="s">
        <v>60</v>
      </c>
      <c r="F819" t="s">
        <v>61</v>
      </c>
      <c r="G819" s="8" t="s">
        <v>249</v>
      </c>
      <c r="H819" t="s">
        <v>250</v>
      </c>
      <c r="I819" t="s">
        <v>223</v>
      </c>
      <c r="J819" t="s">
        <v>228</v>
      </c>
      <c r="K819" s="8" t="s">
        <v>41</v>
      </c>
      <c r="L819" t="s">
        <v>161</v>
      </c>
      <c r="M819" t="s">
        <v>37</v>
      </c>
      <c r="N819" t="s">
        <v>223</v>
      </c>
      <c r="O819">
        <v>0</v>
      </c>
      <c r="P819">
        <v>0</v>
      </c>
      <c r="Q819">
        <v>0</v>
      </c>
      <c r="R819">
        <v>1</v>
      </c>
      <c r="S819">
        <v>0</v>
      </c>
      <c r="T819">
        <v>1</v>
      </c>
      <c r="U819">
        <v>1</v>
      </c>
      <c r="V819">
        <v>0</v>
      </c>
      <c r="W819">
        <v>1</v>
      </c>
      <c r="X819">
        <v>0</v>
      </c>
      <c r="Y819">
        <v>0</v>
      </c>
      <c r="Z819" t="s">
        <v>657</v>
      </c>
      <c r="AA819" t="s">
        <v>659</v>
      </c>
      <c r="AB819" t="s">
        <v>660</v>
      </c>
      <c r="AC819" t="s">
        <v>661</v>
      </c>
      <c r="AD819" t="s">
        <v>662</v>
      </c>
    </row>
    <row r="820" spans="1:30">
      <c r="A820" s="8">
        <v>2020</v>
      </c>
      <c r="B820" s="8">
        <v>241</v>
      </c>
      <c r="D820" s="8" t="s">
        <v>60</v>
      </c>
      <c r="F820" t="s">
        <v>61</v>
      </c>
      <c r="G820" s="8" t="s">
        <v>664</v>
      </c>
      <c r="H820" t="s">
        <v>682</v>
      </c>
      <c r="I820" t="s">
        <v>223</v>
      </c>
      <c r="J820" t="s">
        <v>228</v>
      </c>
      <c r="K820" s="8" t="s">
        <v>41</v>
      </c>
      <c r="L820" t="s">
        <v>161</v>
      </c>
      <c r="M820" t="s">
        <v>37</v>
      </c>
      <c r="N820" t="s">
        <v>223</v>
      </c>
      <c r="O820">
        <v>0</v>
      </c>
      <c r="P820">
        <v>0</v>
      </c>
      <c r="Q820">
        <v>0</v>
      </c>
      <c r="R820">
        <v>1</v>
      </c>
      <c r="S820">
        <v>0</v>
      </c>
      <c r="T820">
        <v>1</v>
      </c>
      <c r="U820">
        <v>1</v>
      </c>
      <c r="V820">
        <v>0</v>
      </c>
      <c r="W820">
        <v>1</v>
      </c>
      <c r="X820">
        <v>0</v>
      </c>
      <c r="Y820">
        <v>0</v>
      </c>
      <c r="Z820" t="s">
        <v>657</v>
      </c>
      <c r="AA820" t="s">
        <v>659</v>
      </c>
      <c r="AB820" t="s">
        <v>660</v>
      </c>
      <c r="AC820" t="s">
        <v>661</v>
      </c>
      <c r="AD820" t="s">
        <v>662</v>
      </c>
    </row>
    <row r="821" spans="1:30">
      <c r="A821" s="8">
        <v>2020</v>
      </c>
      <c r="B821" s="8">
        <v>241</v>
      </c>
      <c r="D821" s="8" t="s">
        <v>60</v>
      </c>
      <c r="F821" t="s">
        <v>61</v>
      </c>
      <c r="G821" s="8" t="s">
        <v>665</v>
      </c>
      <c r="H821" t="s">
        <v>683</v>
      </c>
      <c r="I821" t="s">
        <v>223</v>
      </c>
      <c r="J821" t="s">
        <v>228</v>
      </c>
      <c r="K821" s="8" t="s">
        <v>41</v>
      </c>
      <c r="L821" t="s">
        <v>161</v>
      </c>
      <c r="M821" t="s">
        <v>37</v>
      </c>
      <c r="N821" t="s">
        <v>223</v>
      </c>
      <c r="O821">
        <v>0</v>
      </c>
      <c r="P821">
        <v>0</v>
      </c>
      <c r="Q821">
        <v>0</v>
      </c>
      <c r="R821">
        <v>1</v>
      </c>
      <c r="S821">
        <v>0</v>
      </c>
      <c r="T821">
        <v>1</v>
      </c>
      <c r="U821">
        <v>1</v>
      </c>
      <c r="V821">
        <v>0</v>
      </c>
      <c r="W821">
        <v>1</v>
      </c>
      <c r="X821">
        <v>0</v>
      </c>
      <c r="Y821">
        <v>0</v>
      </c>
      <c r="Z821" t="s">
        <v>657</v>
      </c>
      <c r="AA821" t="s">
        <v>659</v>
      </c>
      <c r="AB821" t="s">
        <v>660</v>
      </c>
      <c r="AC821" t="s">
        <v>661</v>
      </c>
      <c r="AD821" t="s">
        <v>662</v>
      </c>
    </row>
    <row r="822" spans="1:30">
      <c r="A822" s="8">
        <v>2020</v>
      </c>
      <c r="B822" s="8">
        <v>241</v>
      </c>
      <c r="D822" s="8" t="s">
        <v>60</v>
      </c>
      <c r="F822" t="s">
        <v>61</v>
      </c>
      <c r="G822" s="8" t="s">
        <v>666</v>
      </c>
      <c r="H822" t="s">
        <v>684</v>
      </c>
      <c r="I822" t="s">
        <v>223</v>
      </c>
      <c r="J822" t="s">
        <v>228</v>
      </c>
      <c r="K822" s="8" t="s">
        <v>41</v>
      </c>
      <c r="L822" t="s">
        <v>161</v>
      </c>
      <c r="M822" t="s">
        <v>37</v>
      </c>
      <c r="N822" t="s">
        <v>223</v>
      </c>
      <c r="O822">
        <v>0</v>
      </c>
      <c r="P822">
        <v>0</v>
      </c>
      <c r="Q822">
        <v>0</v>
      </c>
      <c r="R822">
        <v>1</v>
      </c>
      <c r="S822">
        <v>0</v>
      </c>
      <c r="T822">
        <v>1</v>
      </c>
      <c r="U822">
        <v>1</v>
      </c>
      <c r="V822">
        <v>0</v>
      </c>
      <c r="W822">
        <v>1</v>
      </c>
      <c r="X822">
        <v>0</v>
      </c>
      <c r="Y822">
        <v>0</v>
      </c>
      <c r="Z822" t="s">
        <v>657</v>
      </c>
      <c r="AA822" t="s">
        <v>659</v>
      </c>
      <c r="AB822" t="s">
        <v>660</v>
      </c>
      <c r="AC822" t="s">
        <v>661</v>
      </c>
      <c r="AD822" t="s">
        <v>662</v>
      </c>
    </row>
    <row r="823" spans="1:30">
      <c r="A823" s="8">
        <v>2020</v>
      </c>
      <c r="B823" s="8">
        <v>241</v>
      </c>
      <c r="D823" s="8" t="s">
        <v>60</v>
      </c>
      <c r="F823" t="s">
        <v>61</v>
      </c>
      <c r="G823" s="8" t="s">
        <v>667</v>
      </c>
      <c r="H823" t="s">
        <v>685</v>
      </c>
      <c r="I823" t="s">
        <v>223</v>
      </c>
      <c r="J823" t="s">
        <v>228</v>
      </c>
      <c r="K823" s="8" t="s">
        <v>41</v>
      </c>
      <c r="L823" t="s">
        <v>161</v>
      </c>
      <c r="M823" t="s">
        <v>37</v>
      </c>
      <c r="N823" t="s">
        <v>223</v>
      </c>
      <c r="O823">
        <v>0</v>
      </c>
      <c r="P823">
        <v>0</v>
      </c>
      <c r="Q823">
        <v>0</v>
      </c>
      <c r="R823">
        <v>1</v>
      </c>
      <c r="S823">
        <v>0</v>
      </c>
      <c r="T823">
        <v>1</v>
      </c>
      <c r="U823">
        <v>1</v>
      </c>
      <c r="V823">
        <v>0</v>
      </c>
      <c r="W823">
        <v>1</v>
      </c>
      <c r="X823">
        <v>0</v>
      </c>
      <c r="Y823">
        <v>0</v>
      </c>
      <c r="Z823" t="s">
        <v>657</v>
      </c>
      <c r="AA823" t="s">
        <v>659</v>
      </c>
      <c r="AB823" t="s">
        <v>660</v>
      </c>
      <c r="AC823" t="s">
        <v>661</v>
      </c>
      <c r="AD823" t="s">
        <v>662</v>
      </c>
    </row>
    <row r="824" spans="1:30">
      <c r="A824" s="8">
        <v>2020</v>
      </c>
      <c r="B824" s="8">
        <v>241</v>
      </c>
      <c r="D824" s="8" t="s">
        <v>60</v>
      </c>
      <c r="F824" t="s">
        <v>61</v>
      </c>
      <c r="G824" s="8" t="s">
        <v>668</v>
      </c>
      <c r="H824" t="s">
        <v>686</v>
      </c>
      <c r="I824" t="s">
        <v>223</v>
      </c>
      <c r="J824" t="s">
        <v>228</v>
      </c>
      <c r="K824" s="8" t="s">
        <v>41</v>
      </c>
      <c r="L824" t="s">
        <v>161</v>
      </c>
      <c r="M824" t="s">
        <v>37</v>
      </c>
      <c r="N824" t="s">
        <v>223</v>
      </c>
      <c r="O824">
        <v>0</v>
      </c>
      <c r="P824">
        <v>0</v>
      </c>
      <c r="Q824">
        <v>0</v>
      </c>
      <c r="R824">
        <v>1</v>
      </c>
      <c r="S824">
        <v>0</v>
      </c>
      <c r="T824">
        <v>1</v>
      </c>
      <c r="U824">
        <v>1</v>
      </c>
      <c r="V824">
        <v>0</v>
      </c>
      <c r="W824">
        <v>1</v>
      </c>
      <c r="X824">
        <v>0</v>
      </c>
      <c r="Y824">
        <v>0</v>
      </c>
      <c r="Z824" t="s">
        <v>657</v>
      </c>
      <c r="AA824" t="s">
        <v>659</v>
      </c>
      <c r="AB824" s="12" t="s">
        <v>660</v>
      </c>
      <c r="AC824" t="s">
        <v>661</v>
      </c>
      <c r="AD824" t="s">
        <v>662</v>
      </c>
    </row>
    <row r="825" spans="1:30">
      <c r="A825" s="8">
        <v>2020</v>
      </c>
      <c r="B825" s="8">
        <v>241</v>
      </c>
      <c r="D825" s="8" t="s">
        <v>60</v>
      </c>
      <c r="F825" t="s">
        <v>61</v>
      </c>
      <c r="G825" s="8" t="s">
        <v>669</v>
      </c>
      <c r="H825" t="s">
        <v>687</v>
      </c>
      <c r="I825" t="s">
        <v>223</v>
      </c>
      <c r="J825" t="s">
        <v>228</v>
      </c>
      <c r="K825" s="8" t="s">
        <v>41</v>
      </c>
      <c r="L825" t="s">
        <v>161</v>
      </c>
      <c r="M825" t="s">
        <v>37</v>
      </c>
      <c r="N825" t="s">
        <v>223</v>
      </c>
      <c r="O825">
        <v>0</v>
      </c>
      <c r="P825">
        <v>0</v>
      </c>
      <c r="Q825">
        <v>0</v>
      </c>
      <c r="R825">
        <v>1</v>
      </c>
      <c r="S825">
        <v>0</v>
      </c>
      <c r="T825">
        <v>1</v>
      </c>
      <c r="U825">
        <v>1</v>
      </c>
      <c r="V825">
        <v>0</v>
      </c>
      <c r="W825">
        <v>1</v>
      </c>
      <c r="X825">
        <v>0</v>
      </c>
      <c r="Y825">
        <v>0</v>
      </c>
      <c r="Z825" t="s">
        <v>657</v>
      </c>
      <c r="AA825" t="s">
        <v>659</v>
      </c>
      <c r="AB825" s="12" t="s">
        <v>660</v>
      </c>
      <c r="AC825" t="s">
        <v>661</v>
      </c>
      <c r="AD825" t="s">
        <v>662</v>
      </c>
    </row>
    <row r="826" spans="1:30">
      <c r="A826" s="8">
        <v>2020</v>
      </c>
      <c r="B826" s="8">
        <v>241</v>
      </c>
      <c r="D826" s="8" t="s">
        <v>60</v>
      </c>
      <c r="F826" t="s">
        <v>61</v>
      </c>
      <c r="G826" s="8" t="s">
        <v>670</v>
      </c>
      <c r="H826" t="s">
        <v>688</v>
      </c>
      <c r="I826" t="s">
        <v>223</v>
      </c>
      <c r="J826" t="s">
        <v>228</v>
      </c>
      <c r="K826" s="8" t="s">
        <v>41</v>
      </c>
      <c r="L826" t="s">
        <v>161</v>
      </c>
      <c r="M826" t="s">
        <v>37</v>
      </c>
      <c r="N826" t="s">
        <v>223</v>
      </c>
      <c r="O826">
        <v>0</v>
      </c>
      <c r="P826">
        <v>0</v>
      </c>
      <c r="Q826">
        <v>0</v>
      </c>
      <c r="R826">
        <v>1</v>
      </c>
      <c r="S826">
        <v>0</v>
      </c>
      <c r="T826">
        <v>1</v>
      </c>
      <c r="U826">
        <v>1</v>
      </c>
      <c r="V826">
        <v>0</v>
      </c>
      <c r="W826">
        <v>1</v>
      </c>
      <c r="X826">
        <v>0</v>
      </c>
      <c r="Y826">
        <v>0</v>
      </c>
      <c r="Z826" t="s">
        <v>657</v>
      </c>
      <c r="AA826" t="s">
        <v>659</v>
      </c>
      <c r="AB826" s="12" t="s">
        <v>660</v>
      </c>
      <c r="AC826" t="s">
        <v>661</v>
      </c>
      <c r="AD826" t="s">
        <v>662</v>
      </c>
    </row>
    <row r="827" spans="1:30">
      <c r="A827" s="8">
        <v>2020</v>
      </c>
      <c r="B827" s="8">
        <v>241</v>
      </c>
      <c r="D827" s="8" t="s">
        <v>60</v>
      </c>
      <c r="F827" t="s">
        <v>61</v>
      </c>
      <c r="G827" s="8" t="s">
        <v>671</v>
      </c>
      <c r="H827" t="s">
        <v>689</v>
      </c>
      <c r="I827" t="s">
        <v>223</v>
      </c>
      <c r="J827" t="s">
        <v>228</v>
      </c>
      <c r="K827" s="8" t="s">
        <v>41</v>
      </c>
      <c r="L827" t="s">
        <v>161</v>
      </c>
      <c r="M827" t="s">
        <v>37</v>
      </c>
      <c r="N827" t="s">
        <v>223</v>
      </c>
      <c r="O827">
        <v>0</v>
      </c>
      <c r="P827">
        <v>0</v>
      </c>
      <c r="Q827">
        <v>0</v>
      </c>
      <c r="R827">
        <v>1</v>
      </c>
      <c r="S827">
        <v>0</v>
      </c>
      <c r="T827">
        <v>1</v>
      </c>
      <c r="U827">
        <v>1</v>
      </c>
      <c r="V827">
        <v>0</v>
      </c>
      <c r="W827">
        <v>1</v>
      </c>
      <c r="X827">
        <v>0</v>
      </c>
      <c r="Y827">
        <v>0</v>
      </c>
      <c r="Z827" t="s">
        <v>657</v>
      </c>
      <c r="AA827" t="s">
        <v>659</v>
      </c>
      <c r="AB827" s="12" t="s">
        <v>660</v>
      </c>
      <c r="AC827" t="s">
        <v>661</v>
      </c>
      <c r="AD827" t="s">
        <v>662</v>
      </c>
    </row>
    <row r="828" spans="1:30">
      <c r="A828" s="8">
        <v>2020</v>
      </c>
      <c r="B828" s="8">
        <v>241</v>
      </c>
      <c r="D828" s="8" t="s">
        <v>60</v>
      </c>
      <c r="F828" t="s">
        <v>61</v>
      </c>
      <c r="G828" s="8" t="s">
        <v>672</v>
      </c>
      <c r="H828" t="s">
        <v>690</v>
      </c>
      <c r="I828" t="s">
        <v>223</v>
      </c>
      <c r="J828" t="s">
        <v>228</v>
      </c>
      <c r="K828" s="8" t="s">
        <v>41</v>
      </c>
      <c r="L828" t="s">
        <v>161</v>
      </c>
      <c r="M828" t="s">
        <v>37</v>
      </c>
      <c r="N828" t="s">
        <v>223</v>
      </c>
      <c r="O828">
        <v>0</v>
      </c>
      <c r="P828">
        <v>0</v>
      </c>
      <c r="Q828">
        <v>0</v>
      </c>
      <c r="R828">
        <v>1</v>
      </c>
      <c r="S828">
        <v>0</v>
      </c>
      <c r="T828">
        <v>1</v>
      </c>
      <c r="U828">
        <v>1</v>
      </c>
      <c r="V828">
        <v>0</v>
      </c>
      <c r="W828">
        <v>1</v>
      </c>
      <c r="X828">
        <v>0</v>
      </c>
      <c r="Y828">
        <v>0</v>
      </c>
      <c r="Z828" t="s">
        <v>657</v>
      </c>
      <c r="AA828" t="s">
        <v>659</v>
      </c>
      <c r="AB828" s="12" t="s">
        <v>660</v>
      </c>
      <c r="AC828" t="s">
        <v>661</v>
      </c>
      <c r="AD828" t="s">
        <v>662</v>
      </c>
    </row>
    <row r="829" spans="1:30">
      <c r="A829" s="8">
        <v>2020</v>
      </c>
      <c r="B829" s="8">
        <v>241</v>
      </c>
      <c r="D829" s="8" t="s">
        <v>60</v>
      </c>
      <c r="F829" t="s">
        <v>61</v>
      </c>
      <c r="G829" s="8" t="s">
        <v>673</v>
      </c>
      <c r="H829" t="s">
        <v>691</v>
      </c>
      <c r="I829" t="s">
        <v>223</v>
      </c>
      <c r="J829" t="s">
        <v>228</v>
      </c>
      <c r="K829" s="8" t="s">
        <v>41</v>
      </c>
      <c r="L829" t="s">
        <v>161</v>
      </c>
      <c r="M829" t="s">
        <v>37</v>
      </c>
      <c r="N829" t="s">
        <v>223</v>
      </c>
      <c r="O829">
        <v>0</v>
      </c>
      <c r="P829">
        <v>0</v>
      </c>
      <c r="Q829">
        <v>0</v>
      </c>
      <c r="R829">
        <v>1</v>
      </c>
      <c r="S829">
        <v>0</v>
      </c>
      <c r="T829">
        <v>1</v>
      </c>
      <c r="U829">
        <v>1</v>
      </c>
      <c r="V829">
        <v>0</v>
      </c>
      <c r="W829">
        <v>1</v>
      </c>
      <c r="X829">
        <v>0</v>
      </c>
      <c r="Y829">
        <v>0</v>
      </c>
      <c r="Z829" t="s">
        <v>657</v>
      </c>
      <c r="AA829" t="s">
        <v>659</v>
      </c>
      <c r="AB829" s="12" t="s">
        <v>660</v>
      </c>
      <c r="AC829" s="12" t="s">
        <v>661</v>
      </c>
      <c r="AD829" t="s">
        <v>662</v>
      </c>
    </row>
    <row r="830" spans="1:30">
      <c r="A830" s="8">
        <v>2020</v>
      </c>
      <c r="B830" s="8">
        <v>241</v>
      </c>
      <c r="D830" s="8" t="s">
        <v>60</v>
      </c>
      <c r="F830" t="s">
        <v>61</v>
      </c>
      <c r="G830" s="8" t="s">
        <v>674</v>
      </c>
      <c r="H830" t="s">
        <v>692</v>
      </c>
      <c r="I830" t="s">
        <v>223</v>
      </c>
      <c r="J830" t="s">
        <v>228</v>
      </c>
      <c r="K830" s="8" t="s">
        <v>41</v>
      </c>
      <c r="L830" t="s">
        <v>161</v>
      </c>
      <c r="M830" t="s">
        <v>37</v>
      </c>
      <c r="N830" t="s">
        <v>223</v>
      </c>
      <c r="O830">
        <v>0</v>
      </c>
      <c r="P830">
        <v>0</v>
      </c>
      <c r="Q830">
        <v>0</v>
      </c>
      <c r="R830">
        <v>1</v>
      </c>
      <c r="S830">
        <v>0</v>
      </c>
      <c r="T830">
        <v>1</v>
      </c>
      <c r="U830">
        <v>1</v>
      </c>
      <c r="V830">
        <v>0</v>
      </c>
      <c r="W830">
        <v>1</v>
      </c>
      <c r="X830">
        <v>0</v>
      </c>
      <c r="Y830">
        <v>0</v>
      </c>
      <c r="Z830" t="s">
        <v>657</v>
      </c>
      <c r="AA830" t="s">
        <v>659</v>
      </c>
      <c r="AB830" s="12" t="s">
        <v>660</v>
      </c>
      <c r="AC830" s="12" t="s">
        <v>661</v>
      </c>
      <c r="AD830" t="s">
        <v>662</v>
      </c>
    </row>
    <row r="831" spans="1:30">
      <c r="A831" s="8">
        <v>2020</v>
      </c>
      <c r="B831" s="8">
        <v>241</v>
      </c>
      <c r="D831" s="8" t="s">
        <v>60</v>
      </c>
      <c r="F831" t="s">
        <v>61</v>
      </c>
      <c r="G831" s="8" t="s">
        <v>675</v>
      </c>
      <c r="H831" t="s">
        <v>693</v>
      </c>
      <c r="I831" t="s">
        <v>223</v>
      </c>
      <c r="J831" t="s">
        <v>228</v>
      </c>
      <c r="K831" s="8" t="s">
        <v>41</v>
      </c>
      <c r="L831" t="s">
        <v>161</v>
      </c>
      <c r="M831" t="s">
        <v>37</v>
      </c>
      <c r="N831" t="s">
        <v>223</v>
      </c>
      <c r="O831">
        <v>0</v>
      </c>
      <c r="P831">
        <v>0</v>
      </c>
      <c r="Q831">
        <v>0</v>
      </c>
      <c r="R831">
        <v>1</v>
      </c>
      <c r="S831">
        <v>0</v>
      </c>
      <c r="T831">
        <v>1</v>
      </c>
      <c r="U831">
        <v>1</v>
      </c>
      <c r="V831">
        <v>0</v>
      </c>
      <c r="W831">
        <v>1</v>
      </c>
      <c r="X831">
        <v>0</v>
      </c>
      <c r="Y831">
        <v>0</v>
      </c>
      <c r="Z831" t="s">
        <v>657</v>
      </c>
      <c r="AA831" t="s">
        <v>659</v>
      </c>
      <c r="AB831" s="12" t="s">
        <v>660</v>
      </c>
      <c r="AC831" s="12" t="s">
        <v>661</v>
      </c>
      <c r="AD831" t="s">
        <v>662</v>
      </c>
    </row>
    <row r="832" spans="1:30">
      <c r="A832" s="8">
        <v>2020</v>
      </c>
      <c r="B832" s="8">
        <v>241</v>
      </c>
      <c r="D832" s="8" t="s">
        <v>60</v>
      </c>
      <c r="F832" t="s">
        <v>61</v>
      </c>
      <c r="G832" s="8" t="s">
        <v>676</v>
      </c>
      <c r="H832" t="s">
        <v>694</v>
      </c>
      <c r="I832" t="s">
        <v>223</v>
      </c>
      <c r="J832" t="s">
        <v>228</v>
      </c>
      <c r="K832" s="8" t="s">
        <v>41</v>
      </c>
      <c r="L832" t="s">
        <v>161</v>
      </c>
      <c r="M832" t="s">
        <v>37</v>
      </c>
      <c r="N832" t="s">
        <v>223</v>
      </c>
      <c r="O832">
        <v>0</v>
      </c>
      <c r="P832">
        <v>0</v>
      </c>
      <c r="Q832">
        <v>0</v>
      </c>
      <c r="R832">
        <v>1</v>
      </c>
      <c r="S832">
        <v>0</v>
      </c>
      <c r="T832">
        <v>1</v>
      </c>
      <c r="U832">
        <v>1</v>
      </c>
      <c r="V832">
        <v>0</v>
      </c>
      <c r="W832">
        <v>1</v>
      </c>
      <c r="X832">
        <v>0</v>
      </c>
      <c r="Y832">
        <v>0</v>
      </c>
      <c r="Z832" t="s">
        <v>657</v>
      </c>
      <c r="AA832" t="s">
        <v>659</v>
      </c>
      <c r="AB832" s="12" t="s">
        <v>660</v>
      </c>
      <c r="AC832" s="12" t="s">
        <v>661</v>
      </c>
      <c r="AD832" t="s">
        <v>662</v>
      </c>
    </row>
    <row r="833" spans="1:30">
      <c r="A833" s="8">
        <v>2020</v>
      </c>
      <c r="B833" s="8">
        <v>241</v>
      </c>
      <c r="D833" s="8" t="s">
        <v>60</v>
      </c>
      <c r="F833" t="s">
        <v>61</v>
      </c>
      <c r="G833" s="8" t="s">
        <v>330</v>
      </c>
      <c r="H833" t="s">
        <v>338</v>
      </c>
      <c r="I833" t="s">
        <v>223</v>
      </c>
      <c r="J833" t="s">
        <v>228</v>
      </c>
      <c r="K833" s="8" t="s">
        <v>41</v>
      </c>
      <c r="L833" t="s">
        <v>161</v>
      </c>
      <c r="M833" t="s">
        <v>37</v>
      </c>
      <c r="N833" t="s">
        <v>223</v>
      </c>
      <c r="O833">
        <v>0</v>
      </c>
      <c r="P833">
        <v>0</v>
      </c>
      <c r="Q833">
        <v>0</v>
      </c>
      <c r="R833">
        <v>1</v>
      </c>
      <c r="S833">
        <v>0</v>
      </c>
      <c r="T833">
        <v>1</v>
      </c>
      <c r="U833">
        <v>1</v>
      </c>
      <c r="V833">
        <v>0</v>
      </c>
      <c r="W833">
        <v>1</v>
      </c>
      <c r="X833">
        <v>0</v>
      </c>
      <c r="Y833">
        <v>0</v>
      </c>
      <c r="Z833" t="s">
        <v>657</v>
      </c>
      <c r="AA833" t="s">
        <v>659</v>
      </c>
      <c r="AB833" s="12" t="s">
        <v>660</v>
      </c>
      <c r="AC833" s="12" t="s">
        <v>661</v>
      </c>
      <c r="AD833" t="s">
        <v>662</v>
      </c>
    </row>
    <row r="834" spans="1:30">
      <c r="A834" s="8">
        <v>2020</v>
      </c>
      <c r="B834" s="8">
        <v>241</v>
      </c>
      <c r="D834" s="8" t="s">
        <v>60</v>
      </c>
      <c r="F834" t="s">
        <v>61</v>
      </c>
      <c r="G834" s="8" t="s">
        <v>62</v>
      </c>
      <c r="H834" t="s">
        <v>63</v>
      </c>
      <c r="I834" t="s">
        <v>223</v>
      </c>
      <c r="J834" t="s">
        <v>228</v>
      </c>
      <c r="K834" s="8" t="s">
        <v>41</v>
      </c>
      <c r="L834" t="s">
        <v>161</v>
      </c>
      <c r="M834" t="s">
        <v>37</v>
      </c>
      <c r="N834" t="s">
        <v>223</v>
      </c>
      <c r="O834">
        <v>0</v>
      </c>
      <c r="P834">
        <v>0</v>
      </c>
      <c r="Q834">
        <v>0</v>
      </c>
      <c r="R834">
        <v>1</v>
      </c>
      <c r="S834">
        <v>0</v>
      </c>
      <c r="T834">
        <v>1</v>
      </c>
      <c r="U834">
        <v>1</v>
      </c>
      <c r="V834">
        <v>0</v>
      </c>
      <c r="W834">
        <v>1</v>
      </c>
      <c r="X834">
        <v>0</v>
      </c>
      <c r="Y834">
        <v>0</v>
      </c>
      <c r="Z834" t="s">
        <v>657</v>
      </c>
      <c r="AA834" s="12" t="s">
        <v>659</v>
      </c>
      <c r="AB834" s="12" t="s">
        <v>660</v>
      </c>
      <c r="AC834" s="12" t="s">
        <v>661</v>
      </c>
      <c r="AD834" t="s">
        <v>662</v>
      </c>
    </row>
    <row r="835" spans="1:30">
      <c r="A835" s="8">
        <v>2020</v>
      </c>
      <c r="B835" s="8">
        <v>241</v>
      </c>
      <c r="D835" s="8" t="s">
        <v>60</v>
      </c>
      <c r="F835" t="s">
        <v>61</v>
      </c>
      <c r="G835" s="8" t="s">
        <v>677</v>
      </c>
      <c r="H835" t="s">
        <v>695</v>
      </c>
      <c r="I835" t="s">
        <v>223</v>
      </c>
      <c r="J835" t="s">
        <v>228</v>
      </c>
      <c r="K835" s="8" t="s">
        <v>41</v>
      </c>
      <c r="L835" t="s">
        <v>161</v>
      </c>
      <c r="M835" t="s">
        <v>37</v>
      </c>
      <c r="N835" t="s">
        <v>223</v>
      </c>
      <c r="O835">
        <v>0</v>
      </c>
      <c r="P835">
        <v>0</v>
      </c>
      <c r="Q835">
        <v>0</v>
      </c>
      <c r="R835">
        <v>1</v>
      </c>
      <c r="S835">
        <v>0</v>
      </c>
      <c r="T835">
        <v>1</v>
      </c>
      <c r="U835">
        <v>1</v>
      </c>
      <c r="V835">
        <v>0</v>
      </c>
      <c r="W835">
        <v>1</v>
      </c>
      <c r="X835">
        <v>0</v>
      </c>
      <c r="Y835">
        <v>0</v>
      </c>
      <c r="Z835" t="s">
        <v>657</v>
      </c>
      <c r="AA835" s="12" t="s">
        <v>659</v>
      </c>
      <c r="AB835" s="12" t="s">
        <v>660</v>
      </c>
      <c r="AC835" s="12" t="s">
        <v>661</v>
      </c>
      <c r="AD835" t="s">
        <v>662</v>
      </c>
    </row>
    <row r="836" spans="1:30">
      <c r="A836" s="8">
        <v>2020</v>
      </c>
      <c r="B836" s="8">
        <v>241</v>
      </c>
      <c r="D836" s="8" t="s">
        <v>60</v>
      </c>
      <c r="F836" t="s">
        <v>61</v>
      </c>
      <c r="G836" s="8" t="s">
        <v>196</v>
      </c>
      <c r="H836" t="s">
        <v>197</v>
      </c>
      <c r="I836" t="s">
        <v>223</v>
      </c>
      <c r="J836" t="s">
        <v>228</v>
      </c>
      <c r="K836" s="8" t="s">
        <v>41</v>
      </c>
      <c r="L836" t="s">
        <v>161</v>
      </c>
      <c r="M836" t="s">
        <v>37</v>
      </c>
      <c r="N836" t="s">
        <v>223</v>
      </c>
      <c r="O836">
        <v>0</v>
      </c>
      <c r="P836">
        <v>0</v>
      </c>
      <c r="Q836">
        <v>0</v>
      </c>
      <c r="R836">
        <v>1</v>
      </c>
      <c r="S836">
        <v>0</v>
      </c>
      <c r="T836">
        <v>1</v>
      </c>
      <c r="U836">
        <v>1</v>
      </c>
      <c r="V836">
        <v>0</v>
      </c>
      <c r="W836">
        <v>1</v>
      </c>
      <c r="X836">
        <v>0</v>
      </c>
      <c r="Y836">
        <v>0</v>
      </c>
      <c r="Z836" t="s">
        <v>657</v>
      </c>
      <c r="AA836" s="12" t="s">
        <v>659</v>
      </c>
      <c r="AB836" s="12" t="s">
        <v>660</v>
      </c>
      <c r="AC836" s="12" t="s">
        <v>661</v>
      </c>
      <c r="AD836" t="s">
        <v>662</v>
      </c>
    </row>
    <row r="837" spans="1:30">
      <c r="A837" s="8">
        <v>2020</v>
      </c>
      <c r="B837" s="8">
        <v>241</v>
      </c>
      <c r="D837" s="8" t="s">
        <v>60</v>
      </c>
      <c r="F837" t="s">
        <v>61</v>
      </c>
      <c r="G837" s="8" t="s">
        <v>18</v>
      </c>
      <c r="H837" t="s">
        <v>19</v>
      </c>
      <c r="I837" t="s">
        <v>223</v>
      </c>
      <c r="J837" t="s">
        <v>228</v>
      </c>
      <c r="K837" s="8" t="s">
        <v>41</v>
      </c>
      <c r="L837" t="s">
        <v>161</v>
      </c>
      <c r="M837" t="s">
        <v>37</v>
      </c>
      <c r="N837" t="s">
        <v>223</v>
      </c>
      <c r="O837">
        <v>0</v>
      </c>
      <c r="P837">
        <v>0</v>
      </c>
      <c r="Q837">
        <v>0</v>
      </c>
      <c r="R837">
        <v>1</v>
      </c>
      <c r="S837">
        <v>0</v>
      </c>
      <c r="T837">
        <v>1</v>
      </c>
      <c r="U837">
        <v>1</v>
      </c>
      <c r="V837">
        <v>0</v>
      </c>
      <c r="W837">
        <v>1</v>
      </c>
      <c r="X837">
        <v>0</v>
      </c>
      <c r="Y837">
        <v>0</v>
      </c>
      <c r="Z837" t="s">
        <v>657</v>
      </c>
      <c r="AA837" s="12" t="s">
        <v>659</v>
      </c>
      <c r="AB837" s="12" t="s">
        <v>660</v>
      </c>
      <c r="AC837" s="12" t="s">
        <v>661</v>
      </c>
      <c r="AD837" t="s">
        <v>662</v>
      </c>
    </row>
    <row r="838" spans="1:30">
      <c r="A838" s="8">
        <v>2020</v>
      </c>
      <c r="B838" s="8">
        <v>241</v>
      </c>
      <c r="D838" s="8" t="s">
        <v>60</v>
      </c>
      <c r="F838" t="s">
        <v>61</v>
      </c>
      <c r="G838" s="8" t="s">
        <v>331</v>
      </c>
      <c r="H838" t="s">
        <v>339</v>
      </c>
      <c r="I838" t="s">
        <v>223</v>
      </c>
      <c r="J838" t="s">
        <v>228</v>
      </c>
      <c r="K838" s="8" t="s">
        <v>41</v>
      </c>
      <c r="L838" t="s">
        <v>161</v>
      </c>
      <c r="M838" t="s">
        <v>37</v>
      </c>
      <c r="N838" t="s">
        <v>223</v>
      </c>
      <c r="O838">
        <v>0</v>
      </c>
      <c r="P838">
        <v>0</v>
      </c>
      <c r="Q838">
        <v>0</v>
      </c>
      <c r="R838">
        <v>1</v>
      </c>
      <c r="S838">
        <v>0</v>
      </c>
      <c r="T838">
        <v>1</v>
      </c>
      <c r="U838">
        <v>1</v>
      </c>
      <c r="V838">
        <v>0</v>
      </c>
      <c r="W838">
        <v>1</v>
      </c>
      <c r="X838">
        <v>0</v>
      </c>
      <c r="Y838">
        <v>0</v>
      </c>
      <c r="Z838" t="s">
        <v>657</v>
      </c>
      <c r="AA838" t="s">
        <v>659</v>
      </c>
      <c r="AB838" s="12" t="s">
        <v>660</v>
      </c>
      <c r="AC838" s="12" t="s">
        <v>661</v>
      </c>
      <c r="AD838" t="s">
        <v>662</v>
      </c>
    </row>
    <row r="839" spans="1:30">
      <c r="A839" s="8">
        <v>2020</v>
      </c>
      <c r="B839" s="8">
        <v>241</v>
      </c>
      <c r="D839" s="8" t="s">
        <v>60</v>
      </c>
      <c r="F839" t="s">
        <v>61</v>
      </c>
      <c r="G839" s="8" t="s">
        <v>153</v>
      </c>
      <c r="H839" t="s">
        <v>186</v>
      </c>
      <c r="I839" t="s">
        <v>223</v>
      </c>
      <c r="J839" t="s">
        <v>228</v>
      </c>
      <c r="K839" s="8" t="s">
        <v>41</v>
      </c>
      <c r="L839" t="s">
        <v>161</v>
      </c>
      <c r="M839" t="s">
        <v>37</v>
      </c>
      <c r="N839" t="s">
        <v>223</v>
      </c>
      <c r="O839">
        <v>0</v>
      </c>
      <c r="P839">
        <v>0</v>
      </c>
      <c r="Q839">
        <v>0</v>
      </c>
      <c r="R839">
        <v>1</v>
      </c>
      <c r="S839">
        <v>0</v>
      </c>
      <c r="T839">
        <v>1</v>
      </c>
      <c r="U839">
        <v>1</v>
      </c>
      <c r="V839">
        <v>0</v>
      </c>
      <c r="W839">
        <v>1</v>
      </c>
      <c r="X839">
        <v>0</v>
      </c>
      <c r="Y839">
        <v>0</v>
      </c>
      <c r="Z839" t="s">
        <v>657</v>
      </c>
      <c r="AA839" t="s">
        <v>659</v>
      </c>
      <c r="AB839" s="12" t="s">
        <v>660</v>
      </c>
      <c r="AC839" s="12" t="s">
        <v>661</v>
      </c>
      <c r="AD839" t="s">
        <v>662</v>
      </c>
    </row>
    <row r="840" spans="1:30">
      <c r="A840" s="8">
        <v>2020</v>
      </c>
      <c r="B840" s="8">
        <v>241</v>
      </c>
      <c r="D840" s="8" t="s">
        <v>60</v>
      </c>
      <c r="F840" t="s">
        <v>61</v>
      </c>
      <c r="G840" s="8" t="s">
        <v>852</v>
      </c>
      <c r="H840" t="s">
        <v>562</v>
      </c>
      <c r="I840" t="s">
        <v>223</v>
      </c>
      <c r="J840" t="s">
        <v>228</v>
      </c>
      <c r="K840" s="8" t="s">
        <v>41</v>
      </c>
      <c r="L840" t="s">
        <v>161</v>
      </c>
      <c r="M840" t="s">
        <v>37</v>
      </c>
      <c r="N840" t="s">
        <v>223</v>
      </c>
      <c r="O840">
        <v>0</v>
      </c>
      <c r="P840">
        <v>0</v>
      </c>
      <c r="Q840">
        <v>0</v>
      </c>
      <c r="R840">
        <v>1</v>
      </c>
      <c r="S840">
        <v>0</v>
      </c>
      <c r="T840">
        <v>1</v>
      </c>
      <c r="U840">
        <v>1</v>
      </c>
      <c r="V840">
        <v>0</v>
      </c>
      <c r="W840">
        <v>1</v>
      </c>
      <c r="X840">
        <v>0</v>
      </c>
      <c r="Y840">
        <v>0</v>
      </c>
      <c r="Z840" t="s">
        <v>657</v>
      </c>
      <c r="AA840" t="s">
        <v>659</v>
      </c>
      <c r="AB840" t="s">
        <v>660</v>
      </c>
      <c r="AC840" s="12" t="s">
        <v>661</v>
      </c>
      <c r="AD840" t="s">
        <v>662</v>
      </c>
    </row>
    <row r="841" spans="1:30">
      <c r="A841" s="8">
        <v>2020</v>
      </c>
      <c r="B841" s="8">
        <v>241</v>
      </c>
      <c r="D841" s="8" t="s">
        <v>60</v>
      </c>
      <c r="F841" t="s">
        <v>61</v>
      </c>
      <c r="G841" s="8" t="s">
        <v>610</v>
      </c>
      <c r="I841" t="s">
        <v>223</v>
      </c>
      <c r="J841" t="s">
        <v>228</v>
      </c>
      <c r="K841" s="8" t="s">
        <v>41</v>
      </c>
      <c r="L841" t="s">
        <v>161</v>
      </c>
      <c r="M841" t="s">
        <v>37</v>
      </c>
      <c r="N841" t="s">
        <v>223</v>
      </c>
      <c r="O841">
        <v>0</v>
      </c>
      <c r="P841">
        <v>0</v>
      </c>
      <c r="Q841">
        <v>0</v>
      </c>
      <c r="R841">
        <v>1</v>
      </c>
      <c r="S841">
        <v>0</v>
      </c>
      <c r="T841">
        <v>1</v>
      </c>
      <c r="U841">
        <v>1</v>
      </c>
      <c r="V841">
        <v>0</v>
      </c>
      <c r="W841">
        <v>1</v>
      </c>
      <c r="X841">
        <v>0</v>
      </c>
      <c r="Y841">
        <v>0</v>
      </c>
      <c r="Z841" t="s">
        <v>657</v>
      </c>
      <c r="AA841" t="s">
        <v>659</v>
      </c>
      <c r="AB841" t="s">
        <v>660</v>
      </c>
      <c r="AC841" t="s">
        <v>661</v>
      </c>
      <c r="AD841" t="s">
        <v>662</v>
      </c>
    </row>
    <row r="842" spans="1:30">
      <c r="A842" s="8">
        <v>2020</v>
      </c>
      <c r="B842" s="8">
        <v>241</v>
      </c>
      <c r="D842" s="8" t="s">
        <v>60</v>
      </c>
      <c r="F842" t="s">
        <v>61</v>
      </c>
      <c r="G842" s="8" t="s">
        <v>26</v>
      </c>
      <c r="I842" t="s">
        <v>223</v>
      </c>
      <c r="J842" t="s">
        <v>228</v>
      </c>
      <c r="K842" s="8" t="s">
        <v>41</v>
      </c>
      <c r="L842" t="s">
        <v>161</v>
      </c>
      <c r="M842" t="s">
        <v>37</v>
      </c>
      <c r="N842" t="s">
        <v>223</v>
      </c>
      <c r="O842">
        <v>0</v>
      </c>
      <c r="P842">
        <v>0</v>
      </c>
      <c r="Q842">
        <v>0</v>
      </c>
      <c r="R842">
        <v>1</v>
      </c>
      <c r="S842">
        <v>0</v>
      </c>
      <c r="T842">
        <v>1</v>
      </c>
      <c r="U842">
        <v>1</v>
      </c>
      <c r="V842">
        <v>0</v>
      </c>
      <c r="W842">
        <v>1</v>
      </c>
      <c r="X842">
        <v>0</v>
      </c>
      <c r="Y842">
        <v>0</v>
      </c>
      <c r="Z842" t="s">
        <v>657</v>
      </c>
      <c r="AA842" t="s">
        <v>659</v>
      </c>
      <c r="AB842" t="s">
        <v>660</v>
      </c>
      <c r="AC842" t="s">
        <v>661</v>
      </c>
      <c r="AD842" t="s">
        <v>662</v>
      </c>
    </row>
    <row r="843" spans="1:30">
      <c r="A843" s="8">
        <v>2020</v>
      </c>
      <c r="B843" s="8">
        <v>241</v>
      </c>
      <c r="D843" s="8" t="s">
        <v>60</v>
      </c>
      <c r="F843" t="s">
        <v>61</v>
      </c>
      <c r="G843" s="8" t="s">
        <v>678</v>
      </c>
      <c r="I843" t="s">
        <v>223</v>
      </c>
      <c r="J843" t="s">
        <v>228</v>
      </c>
      <c r="K843" s="8" t="s">
        <v>41</v>
      </c>
      <c r="L843" t="s">
        <v>161</v>
      </c>
      <c r="M843" t="s">
        <v>37</v>
      </c>
      <c r="N843" t="s">
        <v>223</v>
      </c>
      <c r="O843">
        <v>0</v>
      </c>
      <c r="P843">
        <v>0</v>
      </c>
      <c r="Q843">
        <v>0</v>
      </c>
      <c r="R843">
        <v>1</v>
      </c>
      <c r="S843">
        <v>0</v>
      </c>
      <c r="T843">
        <v>1</v>
      </c>
      <c r="U843">
        <v>1</v>
      </c>
      <c r="V843">
        <v>0</v>
      </c>
      <c r="W843">
        <v>1</v>
      </c>
      <c r="X843">
        <v>0</v>
      </c>
      <c r="Y843">
        <v>0</v>
      </c>
      <c r="Z843" t="s">
        <v>657</v>
      </c>
      <c r="AA843" t="s">
        <v>659</v>
      </c>
      <c r="AB843" t="s">
        <v>660</v>
      </c>
      <c r="AC843" t="s">
        <v>661</v>
      </c>
      <c r="AD843" t="s">
        <v>662</v>
      </c>
    </row>
    <row r="844" spans="1:30">
      <c r="A844" s="8">
        <v>2020</v>
      </c>
      <c r="B844" s="8">
        <v>241</v>
      </c>
      <c r="D844" s="8" t="s">
        <v>60</v>
      </c>
      <c r="F844" t="s">
        <v>61</v>
      </c>
      <c r="G844" s="8" t="s">
        <v>35</v>
      </c>
      <c r="I844" t="s">
        <v>223</v>
      </c>
      <c r="J844" t="s">
        <v>228</v>
      </c>
      <c r="K844" s="8" t="s">
        <v>41</v>
      </c>
      <c r="L844" t="s">
        <v>161</v>
      </c>
      <c r="M844" t="s">
        <v>37</v>
      </c>
      <c r="N844" t="s">
        <v>223</v>
      </c>
      <c r="O844">
        <v>0</v>
      </c>
      <c r="P844">
        <v>0</v>
      </c>
      <c r="Q844">
        <v>0</v>
      </c>
      <c r="R844">
        <v>1</v>
      </c>
      <c r="S844">
        <v>0</v>
      </c>
      <c r="T844">
        <v>1</v>
      </c>
      <c r="U844">
        <v>1</v>
      </c>
      <c r="V844">
        <v>0</v>
      </c>
      <c r="W844">
        <v>1</v>
      </c>
      <c r="X844">
        <v>0</v>
      </c>
      <c r="Y844">
        <v>0</v>
      </c>
      <c r="Z844" t="s">
        <v>657</v>
      </c>
      <c r="AA844" t="s">
        <v>659</v>
      </c>
      <c r="AB844" t="s">
        <v>660</v>
      </c>
      <c r="AC844" t="s">
        <v>661</v>
      </c>
      <c r="AD844" t="s">
        <v>662</v>
      </c>
    </row>
    <row r="845" spans="1:30">
      <c r="A845" s="8">
        <v>2020</v>
      </c>
      <c r="B845" s="8">
        <v>241</v>
      </c>
      <c r="D845" s="8" t="s">
        <v>60</v>
      </c>
      <c r="F845" t="s">
        <v>61</v>
      </c>
      <c r="G845" s="8" t="s">
        <v>679</v>
      </c>
      <c r="I845" t="s">
        <v>223</v>
      </c>
      <c r="J845" t="s">
        <v>228</v>
      </c>
      <c r="K845" s="8" t="s">
        <v>41</v>
      </c>
      <c r="L845" t="s">
        <v>161</v>
      </c>
      <c r="M845" t="s">
        <v>37</v>
      </c>
      <c r="N845" t="s">
        <v>223</v>
      </c>
      <c r="O845">
        <v>0</v>
      </c>
      <c r="P845">
        <v>0</v>
      </c>
      <c r="Q845">
        <v>0</v>
      </c>
      <c r="R845">
        <v>1</v>
      </c>
      <c r="S845">
        <v>0</v>
      </c>
      <c r="T845">
        <v>1</v>
      </c>
      <c r="U845">
        <v>1</v>
      </c>
      <c r="V845">
        <v>0</v>
      </c>
      <c r="W845">
        <v>1</v>
      </c>
      <c r="X845">
        <v>0</v>
      </c>
      <c r="Y845">
        <v>0</v>
      </c>
      <c r="Z845" t="s">
        <v>657</v>
      </c>
      <c r="AA845" t="s">
        <v>659</v>
      </c>
      <c r="AB845" t="s">
        <v>660</v>
      </c>
      <c r="AC845" t="s">
        <v>661</v>
      </c>
      <c r="AD845" t="s">
        <v>662</v>
      </c>
    </row>
    <row r="846" spans="1:30">
      <c r="A846" s="8">
        <v>2020</v>
      </c>
      <c r="B846" s="8">
        <v>241</v>
      </c>
      <c r="D846" s="8" t="s">
        <v>60</v>
      </c>
      <c r="F846" t="s">
        <v>61</v>
      </c>
      <c r="G846" s="8" t="s">
        <v>680</v>
      </c>
      <c r="I846" t="s">
        <v>223</v>
      </c>
      <c r="J846" t="s">
        <v>228</v>
      </c>
      <c r="K846" s="8" t="s">
        <v>41</v>
      </c>
      <c r="L846" t="s">
        <v>161</v>
      </c>
      <c r="M846" t="s">
        <v>37</v>
      </c>
      <c r="N846" t="s">
        <v>223</v>
      </c>
      <c r="O846">
        <v>0</v>
      </c>
      <c r="P846">
        <v>0</v>
      </c>
      <c r="Q846">
        <v>0</v>
      </c>
      <c r="R846">
        <v>1</v>
      </c>
      <c r="S846">
        <v>0</v>
      </c>
      <c r="T846">
        <v>1</v>
      </c>
      <c r="U846">
        <v>1</v>
      </c>
      <c r="V846">
        <v>0</v>
      </c>
      <c r="W846">
        <v>1</v>
      </c>
      <c r="X846">
        <v>0</v>
      </c>
      <c r="Y846">
        <v>0</v>
      </c>
      <c r="Z846" t="s">
        <v>657</v>
      </c>
      <c r="AA846" t="s">
        <v>659</v>
      </c>
      <c r="AB846" t="s">
        <v>660</v>
      </c>
      <c r="AC846" t="s">
        <v>661</v>
      </c>
      <c r="AD846" t="s">
        <v>662</v>
      </c>
    </row>
    <row r="847" spans="1:30">
      <c r="A847" s="8">
        <v>2020</v>
      </c>
      <c r="B847" s="8">
        <v>241</v>
      </c>
      <c r="D847" s="8" t="s">
        <v>60</v>
      </c>
      <c r="F847" t="s">
        <v>61</v>
      </c>
      <c r="G847" s="8" t="s">
        <v>298</v>
      </c>
      <c r="I847" t="s">
        <v>223</v>
      </c>
      <c r="J847" t="s">
        <v>228</v>
      </c>
      <c r="K847" s="8" t="s">
        <v>41</v>
      </c>
      <c r="L847" t="s">
        <v>161</v>
      </c>
      <c r="M847" t="s">
        <v>37</v>
      </c>
      <c r="N847" t="s">
        <v>223</v>
      </c>
      <c r="O847">
        <v>0</v>
      </c>
      <c r="P847">
        <v>0</v>
      </c>
      <c r="Q847">
        <v>0</v>
      </c>
      <c r="R847">
        <v>1</v>
      </c>
      <c r="S847">
        <v>0</v>
      </c>
      <c r="T847">
        <v>1</v>
      </c>
      <c r="U847">
        <v>1</v>
      </c>
      <c r="V847">
        <v>0</v>
      </c>
      <c r="W847">
        <v>1</v>
      </c>
      <c r="X847">
        <v>0</v>
      </c>
      <c r="Y847">
        <v>0</v>
      </c>
      <c r="Z847" t="s">
        <v>657</v>
      </c>
      <c r="AA847" t="s">
        <v>659</v>
      </c>
      <c r="AB847" t="s">
        <v>660</v>
      </c>
      <c r="AC847" t="s">
        <v>661</v>
      </c>
      <c r="AD847" t="s">
        <v>662</v>
      </c>
    </row>
    <row r="848" spans="1:30">
      <c r="A848" s="8">
        <v>2020</v>
      </c>
      <c r="B848" s="8">
        <v>242</v>
      </c>
      <c r="D848" s="8" t="s">
        <v>60</v>
      </c>
      <c r="F848" t="s">
        <v>61</v>
      </c>
      <c r="G848" s="8" t="s">
        <v>18</v>
      </c>
      <c r="H848" t="s">
        <v>19</v>
      </c>
      <c r="I848" t="s">
        <v>18</v>
      </c>
      <c r="J848" t="s">
        <v>19</v>
      </c>
      <c r="K848" s="8" t="s">
        <v>65</v>
      </c>
      <c r="L848" t="s">
        <v>18</v>
      </c>
      <c r="O848">
        <v>0</v>
      </c>
      <c r="P848">
        <v>1</v>
      </c>
      <c r="Q848">
        <v>1</v>
      </c>
      <c r="R848">
        <v>1</v>
      </c>
      <c r="S848">
        <v>0</v>
      </c>
      <c r="T848">
        <v>0</v>
      </c>
      <c r="U848">
        <v>0</v>
      </c>
      <c r="V848">
        <v>0</v>
      </c>
      <c r="W848">
        <v>0</v>
      </c>
      <c r="X848">
        <v>0</v>
      </c>
      <c r="Y848">
        <v>0</v>
      </c>
      <c r="AA848" t="s">
        <v>696</v>
      </c>
      <c r="AB848" t="s">
        <v>697</v>
      </c>
      <c r="AC848" t="s">
        <v>700</v>
      </c>
      <c r="AD848" t="s">
        <v>701</v>
      </c>
    </row>
    <row r="849" spans="1:34">
      <c r="A849" s="8">
        <v>2020</v>
      </c>
      <c r="B849" s="8">
        <v>243</v>
      </c>
      <c r="D849" s="8" t="s">
        <v>60</v>
      </c>
      <c r="E849" t="s">
        <v>209</v>
      </c>
      <c r="F849" t="s">
        <v>61</v>
      </c>
      <c r="G849" s="8" t="s">
        <v>37</v>
      </c>
      <c r="I849" t="s">
        <v>60</v>
      </c>
      <c r="J849" t="s">
        <v>61</v>
      </c>
      <c r="K849" s="8" t="s">
        <v>41</v>
      </c>
      <c r="L849" t="s">
        <v>37</v>
      </c>
      <c r="O849">
        <v>1</v>
      </c>
      <c r="P849">
        <v>0</v>
      </c>
      <c r="Q849">
        <v>0</v>
      </c>
      <c r="R849">
        <v>0</v>
      </c>
      <c r="S849">
        <v>0</v>
      </c>
      <c r="T849">
        <v>1</v>
      </c>
      <c r="U849">
        <v>0</v>
      </c>
      <c r="V849">
        <v>0</v>
      </c>
      <c r="W849">
        <v>0</v>
      </c>
      <c r="X849">
        <v>0</v>
      </c>
      <c r="Y849">
        <v>0</v>
      </c>
      <c r="AA849" t="s">
        <v>698</v>
      </c>
      <c r="AB849" t="s">
        <v>699</v>
      </c>
    </row>
    <row r="850" spans="1:34">
      <c r="A850" s="8">
        <v>2020</v>
      </c>
      <c r="B850" s="8">
        <v>244</v>
      </c>
      <c r="D850" s="8" t="s">
        <v>60</v>
      </c>
      <c r="F850" t="s">
        <v>61</v>
      </c>
      <c r="G850" s="8" t="s">
        <v>18</v>
      </c>
      <c r="H850" t="s">
        <v>19</v>
      </c>
      <c r="I850" t="s">
        <v>60</v>
      </c>
      <c r="J850" t="s">
        <v>61</v>
      </c>
      <c r="K850" s="8" t="s">
        <v>65</v>
      </c>
      <c r="L850" t="s">
        <v>18</v>
      </c>
      <c r="O850">
        <v>1</v>
      </c>
      <c r="P850">
        <v>1</v>
      </c>
      <c r="Q850">
        <v>0</v>
      </c>
      <c r="R850">
        <v>0</v>
      </c>
      <c r="S850">
        <v>0</v>
      </c>
      <c r="T850">
        <v>0</v>
      </c>
      <c r="U850">
        <v>0</v>
      </c>
      <c r="V850">
        <v>0</v>
      </c>
      <c r="W850">
        <v>0</v>
      </c>
      <c r="X850">
        <v>0</v>
      </c>
      <c r="Y850">
        <v>0</v>
      </c>
      <c r="AA850" t="s">
        <v>702</v>
      </c>
      <c r="AB850" t="s">
        <v>703</v>
      </c>
      <c r="AC850" t="s">
        <v>704</v>
      </c>
      <c r="AD850" t="s">
        <v>705</v>
      </c>
      <c r="AE850" t="s">
        <v>706</v>
      </c>
      <c r="AF850" t="s">
        <v>707</v>
      </c>
      <c r="AG850" t="s">
        <v>708</v>
      </c>
      <c r="AH850" t="s">
        <v>709</v>
      </c>
    </row>
    <row r="851" spans="1:34">
      <c r="A851" s="8">
        <v>2020</v>
      </c>
      <c r="B851" s="8">
        <v>245</v>
      </c>
      <c r="D851" s="8" t="s">
        <v>60</v>
      </c>
      <c r="F851" t="s">
        <v>61</v>
      </c>
      <c r="G851" s="8" t="s">
        <v>567</v>
      </c>
      <c r="H851" t="s">
        <v>568</v>
      </c>
      <c r="I851" t="s">
        <v>155</v>
      </c>
      <c r="J851" t="s">
        <v>188</v>
      </c>
      <c r="K851" s="8" t="s">
        <v>41</v>
      </c>
      <c r="L851" t="s">
        <v>155</v>
      </c>
      <c r="O851">
        <v>0</v>
      </c>
      <c r="P851">
        <v>0</v>
      </c>
      <c r="Q851">
        <v>0</v>
      </c>
      <c r="R851">
        <v>1</v>
      </c>
      <c r="S851">
        <v>0</v>
      </c>
      <c r="T851">
        <v>0</v>
      </c>
      <c r="U851">
        <v>1</v>
      </c>
      <c r="V851">
        <v>0</v>
      </c>
      <c r="W851">
        <v>1</v>
      </c>
      <c r="X851">
        <v>0</v>
      </c>
      <c r="Y851">
        <v>0</v>
      </c>
      <c r="Z851" t="s">
        <v>710</v>
      </c>
      <c r="AA851" t="s">
        <v>711</v>
      </c>
      <c r="AB851" t="s">
        <v>712</v>
      </c>
      <c r="AD851" t="s">
        <v>713</v>
      </c>
    </row>
    <row r="852" spans="1:34">
      <c r="A852" s="8">
        <v>2020</v>
      </c>
      <c r="B852" s="8">
        <v>245</v>
      </c>
      <c r="D852" s="8" t="s">
        <v>60</v>
      </c>
      <c r="F852" t="s">
        <v>61</v>
      </c>
      <c r="G852" s="8" t="s">
        <v>610</v>
      </c>
      <c r="I852" t="s">
        <v>155</v>
      </c>
      <c r="J852" t="s">
        <v>188</v>
      </c>
      <c r="K852" s="8" t="s">
        <v>41</v>
      </c>
      <c r="L852" t="s">
        <v>155</v>
      </c>
      <c r="O852">
        <v>0</v>
      </c>
      <c r="P852">
        <v>0</v>
      </c>
      <c r="Q852">
        <v>0</v>
      </c>
      <c r="R852">
        <v>1</v>
      </c>
      <c r="S852">
        <v>0</v>
      </c>
      <c r="T852">
        <v>0</v>
      </c>
      <c r="U852">
        <v>1</v>
      </c>
      <c r="V852">
        <v>0</v>
      </c>
      <c r="W852">
        <v>1</v>
      </c>
      <c r="X852">
        <v>0</v>
      </c>
      <c r="Y852">
        <v>0</v>
      </c>
      <c r="Z852" t="s">
        <v>710</v>
      </c>
      <c r="AA852" t="s">
        <v>711</v>
      </c>
      <c r="AB852" t="s">
        <v>712</v>
      </c>
      <c r="AD852" t="s">
        <v>713</v>
      </c>
    </row>
    <row r="853" spans="1:34">
      <c r="A853" s="8">
        <v>2020</v>
      </c>
      <c r="B853" s="8">
        <v>245</v>
      </c>
      <c r="D853" s="8" t="s">
        <v>60</v>
      </c>
      <c r="F853" t="s">
        <v>61</v>
      </c>
      <c r="G853" s="8" t="s">
        <v>611</v>
      </c>
      <c r="H853" t="s">
        <v>617</v>
      </c>
      <c r="I853" t="s">
        <v>155</v>
      </c>
      <c r="J853" t="s">
        <v>188</v>
      </c>
      <c r="K853" s="8" t="s">
        <v>41</v>
      </c>
      <c r="L853" t="s">
        <v>155</v>
      </c>
      <c r="O853">
        <v>0</v>
      </c>
      <c r="P853">
        <v>0</v>
      </c>
      <c r="Q853">
        <v>0</v>
      </c>
      <c r="R853">
        <v>1</v>
      </c>
      <c r="S853">
        <v>0</v>
      </c>
      <c r="T853">
        <v>0</v>
      </c>
      <c r="U853">
        <v>1</v>
      </c>
      <c r="V853">
        <v>0</v>
      </c>
      <c r="W853">
        <v>1</v>
      </c>
      <c r="X853">
        <v>0</v>
      </c>
      <c r="Y853">
        <v>0</v>
      </c>
      <c r="Z853" t="s">
        <v>710</v>
      </c>
      <c r="AA853" t="s">
        <v>711</v>
      </c>
      <c r="AB853" t="s">
        <v>712</v>
      </c>
      <c r="AD853" t="s">
        <v>713</v>
      </c>
    </row>
    <row r="854" spans="1:34">
      <c r="A854" s="8">
        <v>2020</v>
      </c>
      <c r="B854" s="8">
        <v>245</v>
      </c>
      <c r="D854" s="8" t="s">
        <v>60</v>
      </c>
      <c r="F854" t="s">
        <v>61</v>
      </c>
      <c r="G854" s="8" t="s">
        <v>154</v>
      </c>
      <c r="H854" t="s">
        <v>187</v>
      </c>
      <c r="I854" t="s">
        <v>155</v>
      </c>
      <c r="J854" t="s">
        <v>188</v>
      </c>
      <c r="K854" s="8" t="s">
        <v>41</v>
      </c>
      <c r="L854" t="s">
        <v>155</v>
      </c>
      <c r="O854">
        <v>0</v>
      </c>
      <c r="P854">
        <v>0</v>
      </c>
      <c r="Q854">
        <v>0</v>
      </c>
      <c r="R854">
        <v>1</v>
      </c>
      <c r="S854">
        <v>0</v>
      </c>
      <c r="T854">
        <v>0</v>
      </c>
      <c r="U854">
        <v>1</v>
      </c>
      <c r="V854">
        <v>0</v>
      </c>
      <c r="W854">
        <v>1</v>
      </c>
      <c r="X854">
        <v>0</v>
      </c>
      <c r="Y854">
        <v>0</v>
      </c>
      <c r="Z854" t="s">
        <v>710</v>
      </c>
      <c r="AA854" t="s">
        <v>711</v>
      </c>
      <c r="AB854" t="s">
        <v>712</v>
      </c>
      <c r="AD854" t="s">
        <v>713</v>
      </c>
    </row>
    <row r="855" spans="1:34">
      <c r="A855" s="8">
        <v>2020</v>
      </c>
      <c r="B855" s="8">
        <v>245</v>
      </c>
      <c r="D855" s="8" t="s">
        <v>60</v>
      </c>
      <c r="F855" t="s">
        <v>61</v>
      </c>
      <c r="G855" s="8" t="s">
        <v>161</v>
      </c>
      <c r="I855" t="s">
        <v>155</v>
      </c>
      <c r="J855" t="s">
        <v>188</v>
      </c>
      <c r="K855" s="8" t="s">
        <v>41</v>
      </c>
      <c r="L855" t="s">
        <v>155</v>
      </c>
      <c r="O855">
        <v>0</v>
      </c>
      <c r="P855">
        <v>0</v>
      </c>
      <c r="Q855">
        <v>0</v>
      </c>
      <c r="R855">
        <v>1</v>
      </c>
      <c r="S855">
        <v>0</v>
      </c>
      <c r="T855">
        <v>0</v>
      </c>
      <c r="U855">
        <v>1</v>
      </c>
      <c r="V855">
        <v>0</v>
      </c>
      <c r="W855">
        <v>1</v>
      </c>
      <c r="X855">
        <v>0</v>
      </c>
      <c r="Y855">
        <v>0</v>
      </c>
      <c r="Z855" t="s">
        <v>710</v>
      </c>
      <c r="AA855" t="s">
        <v>711</v>
      </c>
      <c r="AB855" t="s">
        <v>712</v>
      </c>
      <c r="AD855" t="s">
        <v>713</v>
      </c>
    </row>
    <row r="856" spans="1:34">
      <c r="A856" s="8">
        <v>2020</v>
      </c>
      <c r="B856" s="8">
        <v>245</v>
      </c>
      <c r="D856" s="8" t="s">
        <v>60</v>
      </c>
      <c r="F856" t="s">
        <v>61</v>
      </c>
      <c r="G856" s="8" t="s">
        <v>22</v>
      </c>
      <c r="H856" t="s">
        <v>24</v>
      </c>
      <c r="I856" t="s">
        <v>155</v>
      </c>
      <c r="J856" t="s">
        <v>188</v>
      </c>
      <c r="K856" s="8" t="s">
        <v>41</v>
      </c>
      <c r="L856" t="s">
        <v>155</v>
      </c>
      <c r="O856">
        <v>0</v>
      </c>
      <c r="P856">
        <v>0</v>
      </c>
      <c r="Q856">
        <v>0</v>
      </c>
      <c r="R856">
        <v>1</v>
      </c>
      <c r="S856">
        <v>0</v>
      </c>
      <c r="T856">
        <v>0</v>
      </c>
      <c r="U856">
        <v>1</v>
      </c>
      <c r="V856">
        <v>0</v>
      </c>
      <c r="W856">
        <v>1</v>
      </c>
      <c r="X856">
        <v>0</v>
      </c>
      <c r="Y856">
        <v>0</v>
      </c>
      <c r="Z856" t="s">
        <v>710</v>
      </c>
      <c r="AA856" t="s">
        <v>711</v>
      </c>
      <c r="AB856" t="s">
        <v>712</v>
      </c>
      <c r="AD856" t="s">
        <v>713</v>
      </c>
    </row>
    <row r="857" spans="1:34">
      <c r="A857" s="8">
        <v>2020</v>
      </c>
      <c r="B857" s="8">
        <v>245</v>
      </c>
      <c r="D857" s="8" t="s">
        <v>60</v>
      </c>
      <c r="F857" t="s">
        <v>61</v>
      </c>
      <c r="G857" s="8" t="s">
        <v>222</v>
      </c>
      <c r="H857" t="s">
        <v>227</v>
      </c>
      <c r="I857" t="s">
        <v>155</v>
      </c>
      <c r="J857" t="s">
        <v>188</v>
      </c>
      <c r="K857" s="8" t="s">
        <v>41</v>
      </c>
      <c r="L857" t="s">
        <v>155</v>
      </c>
      <c r="O857">
        <v>0</v>
      </c>
      <c r="P857">
        <v>0</v>
      </c>
      <c r="Q857">
        <v>0</v>
      </c>
      <c r="R857">
        <v>1</v>
      </c>
      <c r="S857">
        <v>0</v>
      </c>
      <c r="T857">
        <v>0</v>
      </c>
      <c r="U857">
        <v>1</v>
      </c>
      <c r="V857">
        <v>0</v>
      </c>
      <c r="W857">
        <v>1</v>
      </c>
      <c r="X857">
        <v>0</v>
      </c>
      <c r="Y857">
        <v>0</v>
      </c>
      <c r="Z857" t="s">
        <v>710</v>
      </c>
      <c r="AA857" t="s">
        <v>711</v>
      </c>
      <c r="AB857" t="s">
        <v>712</v>
      </c>
      <c r="AD857" t="s">
        <v>713</v>
      </c>
    </row>
    <row r="858" spans="1:34">
      <c r="A858" s="8">
        <v>2020</v>
      </c>
      <c r="B858" s="8">
        <v>245</v>
      </c>
      <c r="D858" s="8" t="s">
        <v>60</v>
      </c>
      <c r="F858" t="s">
        <v>61</v>
      </c>
      <c r="G858" s="8" t="s">
        <v>223</v>
      </c>
      <c r="H858" t="s">
        <v>228</v>
      </c>
      <c r="I858" t="s">
        <v>155</v>
      </c>
      <c r="J858" t="s">
        <v>188</v>
      </c>
      <c r="K858" s="8" t="s">
        <v>41</v>
      </c>
      <c r="L858" t="s">
        <v>155</v>
      </c>
      <c r="O858">
        <v>0</v>
      </c>
      <c r="P858">
        <v>0</v>
      </c>
      <c r="Q858">
        <v>0</v>
      </c>
      <c r="R858">
        <v>1</v>
      </c>
      <c r="S858">
        <v>0</v>
      </c>
      <c r="T858">
        <v>0</v>
      </c>
      <c r="U858">
        <v>1</v>
      </c>
      <c r="V858">
        <v>0</v>
      </c>
      <c r="W858">
        <v>1</v>
      </c>
      <c r="X858">
        <v>0</v>
      </c>
      <c r="Y858">
        <v>0</v>
      </c>
      <c r="Z858" t="s">
        <v>710</v>
      </c>
      <c r="AA858" t="s">
        <v>711</v>
      </c>
      <c r="AB858" t="s">
        <v>712</v>
      </c>
      <c r="AD858" t="s">
        <v>713</v>
      </c>
    </row>
    <row r="859" spans="1:34">
      <c r="A859" s="8">
        <v>2020</v>
      </c>
      <c r="B859" s="8">
        <v>245</v>
      </c>
      <c r="D859" s="8" t="s">
        <v>60</v>
      </c>
      <c r="F859" t="s">
        <v>61</v>
      </c>
      <c r="G859" s="8" t="s">
        <v>204</v>
      </c>
      <c r="H859" t="s">
        <v>207</v>
      </c>
      <c r="I859" t="s">
        <v>155</v>
      </c>
      <c r="J859" t="s">
        <v>188</v>
      </c>
      <c r="K859" s="8" t="s">
        <v>41</v>
      </c>
      <c r="L859" t="s">
        <v>155</v>
      </c>
      <c r="O859">
        <v>0</v>
      </c>
      <c r="P859">
        <v>0</v>
      </c>
      <c r="Q859">
        <v>0</v>
      </c>
      <c r="R859">
        <v>1</v>
      </c>
      <c r="S859">
        <v>0</v>
      </c>
      <c r="T859">
        <v>0</v>
      </c>
      <c r="U859">
        <v>1</v>
      </c>
      <c r="V859">
        <v>0</v>
      </c>
      <c r="W859">
        <v>1</v>
      </c>
      <c r="X859">
        <v>0</v>
      </c>
      <c r="Y859">
        <v>0</v>
      </c>
      <c r="Z859" t="s">
        <v>710</v>
      </c>
      <c r="AA859" t="s">
        <v>711</v>
      </c>
      <c r="AB859" t="s">
        <v>712</v>
      </c>
      <c r="AD859" t="s">
        <v>713</v>
      </c>
    </row>
    <row r="860" spans="1:34">
      <c r="A860" s="8">
        <v>2020</v>
      </c>
      <c r="B860" s="8">
        <v>245</v>
      </c>
      <c r="D860" s="8" t="s">
        <v>60</v>
      </c>
      <c r="F860" t="s">
        <v>61</v>
      </c>
      <c r="G860" s="8" t="s">
        <v>612</v>
      </c>
      <c r="H860" t="s">
        <v>618</v>
      </c>
      <c r="I860" t="s">
        <v>155</v>
      </c>
      <c r="J860" t="s">
        <v>188</v>
      </c>
      <c r="K860" s="8" t="s">
        <v>41</v>
      </c>
      <c r="L860" t="s">
        <v>155</v>
      </c>
      <c r="O860">
        <v>0</v>
      </c>
      <c r="P860">
        <v>0</v>
      </c>
      <c r="Q860">
        <v>0</v>
      </c>
      <c r="R860">
        <v>1</v>
      </c>
      <c r="S860">
        <v>0</v>
      </c>
      <c r="T860">
        <v>0</v>
      </c>
      <c r="U860">
        <v>1</v>
      </c>
      <c r="V860">
        <v>0</v>
      </c>
      <c r="W860">
        <v>1</v>
      </c>
      <c r="X860">
        <v>0</v>
      </c>
      <c r="Y860">
        <v>0</v>
      </c>
      <c r="Z860" t="s">
        <v>710</v>
      </c>
      <c r="AA860" t="s">
        <v>711</v>
      </c>
      <c r="AB860" t="s">
        <v>712</v>
      </c>
      <c r="AD860" t="s">
        <v>713</v>
      </c>
    </row>
    <row r="861" spans="1:34">
      <c r="A861" s="8">
        <v>2020</v>
      </c>
      <c r="B861" s="8">
        <v>245</v>
      </c>
      <c r="D861" s="8" t="s">
        <v>60</v>
      </c>
      <c r="F861" t="s">
        <v>61</v>
      </c>
      <c r="G861" s="8" t="s">
        <v>613</v>
      </c>
      <c r="H861" t="s">
        <v>619</v>
      </c>
      <c r="I861" t="s">
        <v>155</v>
      </c>
      <c r="J861" t="s">
        <v>188</v>
      </c>
      <c r="K861" s="8" t="s">
        <v>41</v>
      </c>
      <c r="L861" t="s">
        <v>155</v>
      </c>
      <c r="O861">
        <v>0</v>
      </c>
      <c r="P861">
        <v>0</v>
      </c>
      <c r="Q861">
        <v>0</v>
      </c>
      <c r="R861">
        <v>1</v>
      </c>
      <c r="S861">
        <v>0</v>
      </c>
      <c r="T861">
        <v>0</v>
      </c>
      <c r="U861">
        <v>1</v>
      </c>
      <c r="V861">
        <v>0</v>
      </c>
      <c r="W861">
        <v>1</v>
      </c>
      <c r="X861">
        <v>0</v>
      </c>
      <c r="Y861">
        <v>0</v>
      </c>
      <c r="Z861" t="s">
        <v>710</v>
      </c>
      <c r="AA861" t="s">
        <v>711</v>
      </c>
      <c r="AB861" t="s">
        <v>712</v>
      </c>
      <c r="AD861" t="s">
        <v>713</v>
      </c>
    </row>
    <row r="862" spans="1:34">
      <c r="A862" s="8">
        <v>2020</v>
      </c>
      <c r="B862" s="8">
        <v>245</v>
      </c>
      <c r="D862" s="8" t="s">
        <v>60</v>
      </c>
      <c r="F862" t="s">
        <v>61</v>
      </c>
      <c r="G862" s="8" t="s">
        <v>377</v>
      </c>
      <c r="H862" t="s">
        <v>378</v>
      </c>
      <c r="I862" t="s">
        <v>155</v>
      </c>
      <c r="J862" t="s">
        <v>188</v>
      </c>
      <c r="K862" s="8" t="s">
        <v>41</v>
      </c>
      <c r="L862" t="s">
        <v>155</v>
      </c>
      <c r="O862">
        <v>0</v>
      </c>
      <c r="P862">
        <v>0</v>
      </c>
      <c r="Q862">
        <v>0</v>
      </c>
      <c r="R862">
        <v>1</v>
      </c>
      <c r="S862">
        <v>0</v>
      </c>
      <c r="T862">
        <v>0</v>
      </c>
      <c r="U862">
        <v>1</v>
      </c>
      <c r="V862">
        <v>0</v>
      </c>
      <c r="W862">
        <v>1</v>
      </c>
      <c r="X862">
        <v>0</v>
      </c>
      <c r="Y862">
        <v>0</v>
      </c>
      <c r="Z862" t="s">
        <v>710</v>
      </c>
      <c r="AA862" t="s">
        <v>711</v>
      </c>
      <c r="AB862" t="s">
        <v>712</v>
      </c>
      <c r="AD862" t="s">
        <v>713</v>
      </c>
    </row>
    <row r="863" spans="1:34">
      <c r="A863" s="8">
        <v>2020</v>
      </c>
      <c r="B863" s="8">
        <v>245</v>
      </c>
      <c r="D863" s="8" t="s">
        <v>60</v>
      </c>
      <c r="F863" t="s">
        <v>61</v>
      </c>
      <c r="G863" s="8" t="s">
        <v>203</v>
      </c>
      <c r="H863" t="s">
        <v>206</v>
      </c>
      <c r="I863" t="s">
        <v>155</v>
      </c>
      <c r="J863" t="s">
        <v>188</v>
      </c>
      <c r="K863" s="8" t="s">
        <v>41</v>
      </c>
      <c r="L863" t="s">
        <v>155</v>
      </c>
      <c r="O863">
        <v>0</v>
      </c>
      <c r="P863">
        <v>0</v>
      </c>
      <c r="Q863">
        <v>0</v>
      </c>
      <c r="R863">
        <v>1</v>
      </c>
      <c r="S863">
        <v>0</v>
      </c>
      <c r="T863">
        <v>0</v>
      </c>
      <c r="U863">
        <v>1</v>
      </c>
      <c r="V863">
        <v>0</v>
      </c>
      <c r="W863">
        <v>1</v>
      </c>
      <c r="X863">
        <v>0</v>
      </c>
      <c r="Y863">
        <v>0</v>
      </c>
      <c r="Z863" t="s">
        <v>710</v>
      </c>
      <c r="AA863" t="s">
        <v>711</v>
      </c>
      <c r="AB863" t="s">
        <v>712</v>
      </c>
      <c r="AD863" t="s">
        <v>713</v>
      </c>
    </row>
    <row r="864" spans="1:34">
      <c r="A864" s="8">
        <v>2020</v>
      </c>
      <c r="B864" s="8">
        <v>245</v>
      </c>
      <c r="D864" s="8" t="s">
        <v>60</v>
      </c>
      <c r="F864" t="s">
        <v>61</v>
      </c>
      <c r="G864" s="8" t="s">
        <v>157</v>
      </c>
      <c r="H864" t="s">
        <v>190</v>
      </c>
      <c r="I864" t="s">
        <v>155</v>
      </c>
      <c r="J864" t="s">
        <v>188</v>
      </c>
      <c r="K864" s="8" t="s">
        <v>41</v>
      </c>
      <c r="L864" t="s">
        <v>155</v>
      </c>
      <c r="O864">
        <v>0</v>
      </c>
      <c r="P864">
        <v>0</v>
      </c>
      <c r="Q864">
        <v>0</v>
      </c>
      <c r="R864">
        <v>1</v>
      </c>
      <c r="S864">
        <v>0</v>
      </c>
      <c r="T864">
        <v>0</v>
      </c>
      <c r="U864">
        <v>1</v>
      </c>
      <c r="V864">
        <v>0</v>
      </c>
      <c r="W864">
        <v>1</v>
      </c>
      <c r="X864">
        <v>0</v>
      </c>
      <c r="Y864">
        <v>0</v>
      </c>
      <c r="Z864" t="s">
        <v>710</v>
      </c>
      <c r="AA864" t="s">
        <v>711</v>
      </c>
      <c r="AB864" t="s">
        <v>712</v>
      </c>
      <c r="AD864" t="s">
        <v>713</v>
      </c>
    </row>
    <row r="865" spans="1:30">
      <c r="A865" s="8">
        <v>2020</v>
      </c>
      <c r="B865" s="8">
        <v>245</v>
      </c>
      <c r="D865" s="8" t="s">
        <v>60</v>
      </c>
      <c r="F865" t="s">
        <v>61</v>
      </c>
      <c r="G865" s="8" t="s">
        <v>155</v>
      </c>
      <c r="H865" t="s">
        <v>188</v>
      </c>
      <c r="I865" t="s">
        <v>155</v>
      </c>
      <c r="J865" t="s">
        <v>188</v>
      </c>
      <c r="K865" s="8" t="s">
        <v>41</v>
      </c>
      <c r="L865" t="s">
        <v>155</v>
      </c>
      <c r="O865">
        <v>0</v>
      </c>
      <c r="P865">
        <v>0</v>
      </c>
      <c r="Q865">
        <v>1</v>
      </c>
      <c r="R865">
        <v>1</v>
      </c>
      <c r="S865">
        <v>0</v>
      </c>
      <c r="T865">
        <v>0</v>
      </c>
      <c r="U865">
        <v>1</v>
      </c>
      <c r="V865">
        <v>0</v>
      </c>
      <c r="W865">
        <v>1</v>
      </c>
      <c r="X865">
        <v>0</v>
      </c>
      <c r="Y865">
        <v>0</v>
      </c>
      <c r="Z865" t="s">
        <v>710</v>
      </c>
      <c r="AA865" t="s">
        <v>711</v>
      </c>
      <c r="AB865" t="s">
        <v>712</v>
      </c>
      <c r="AD865" t="s">
        <v>713</v>
      </c>
    </row>
    <row r="866" spans="1:30">
      <c r="A866" s="8">
        <v>2020</v>
      </c>
      <c r="B866" s="8">
        <v>245</v>
      </c>
      <c r="D866" s="8" t="s">
        <v>60</v>
      </c>
      <c r="F866" t="s">
        <v>61</v>
      </c>
      <c r="G866" s="8" t="s">
        <v>615</v>
      </c>
      <c r="H866" t="s">
        <v>620</v>
      </c>
      <c r="I866" t="s">
        <v>155</v>
      </c>
      <c r="J866" t="s">
        <v>188</v>
      </c>
      <c r="K866" s="8" t="s">
        <v>41</v>
      </c>
      <c r="L866" t="s">
        <v>155</v>
      </c>
      <c r="O866">
        <v>0</v>
      </c>
      <c r="P866">
        <v>0</v>
      </c>
      <c r="Q866">
        <v>0</v>
      </c>
      <c r="R866">
        <v>1</v>
      </c>
      <c r="S866">
        <v>0</v>
      </c>
      <c r="T866">
        <v>0</v>
      </c>
      <c r="U866">
        <v>1</v>
      </c>
      <c r="V866">
        <v>0</v>
      </c>
      <c r="W866">
        <v>1</v>
      </c>
      <c r="X866">
        <v>0</v>
      </c>
      <c r="Y866">
        <v>0</v>
      </c>
      <c r="Z866" t="s">
        <v>710</v>
      </c>
      <c r="AA866" t="s">
        <v>711</v>
      </c>
      <c r="AB866" t="s">
        <v>712</v>
      </c>
      <c r="AD866" t="s">
        <v>713</v>
      </c>
    </row>
    <row r="867" spans="1:30">
      <c r="A867" s="8">
        <v>2020</v>
      </c>
      <c r="B867" s="8">
        <v>245</v>
      </c>
      <c r="D867" s="8" t="s">
        <v>60</v>
      </c>
      <c r="F867" t="s">
        <v>61</v>
      </c>
      <c r="G867" s="8" t="s">
        <v>202</v>
      </c>
      <c r="H867" t="s">
        <v>205</v>
      </c>
      <c r="I867" t="s">
        <v>155</v>
      </c>
      <c r="J867" t="s">
        <v>188</v>
      </c>
      <c r="K867" s="8" t="s">
        <v>41</v>
      </c>
      <c r="L867" t="s">
        <v>155</v>
      </c>
      <c r="O867">
        <v>0</v>
      </c>
      <c r="P867">
        <v>0</v>
      </c>
      <c r="Q867">
        <v>0</v>
      </c>
      <c r="R867">
        <v>1</v>
      </c>
      <c r="S867">
        <v>0</v>
      </c>
      <c r="T867">
        <v>0</v>
      </c>
      <c r="U867">
        <v>1</v>
      </c>
      <c r="V867">
        <v>0</v>
      </c>
      <c r="W867">
        <v>1</v>
      </c>
      <c r="X867">
        <v>0</v>
      </c>
      <c r="Y867">
        <v>0</v>
      </c>
      <c r="Z867" t="s">
        <v>710</v>
      </c>
      <c r="AA867" t="s">
        <v>711</v>
      </c>
      <c r="AB867" t="s">
        <v>712</v>
      </c>
      <c r="AD867" t="s">
        <v>713</v>
      </c>
    </row>
    <row r="868" spans="1:30">
      <c r="A868" s="8">
        <v>2020</v>
      </c>
      <c r="B868" s="8">
        <v>245</v>
      </c>
      <c r="D868" s="8" t="s">
        <v>60</v>
      </c>
      <c r="F868" t="s">
        <v>61</v>
      </c>
      <c r="G868" s="8" t="s">
        <v>37</v>
      </c>
      <c r="I868" t="s">
        <v>155</v>
      </c>
      <c r="J868" t="s">
        <v>188</v>
      </c>
      <c r="K868" s="8" t="s">
        <v>41</v>
      </c>
      <c r="L868" t="s">
        <v>155</v>
      </c>
      <c r="O868">
        <v>0</v>
      </c>
      <c r="P868">
        <v>0</v>
      </c>
      <c r="Q868">
        <v>0</v>
      </c>
      <c r="R868">
        <v>1</v>
      </c>
      <c r="S868">
        <v>0</v>
      </c>
      <c r="T868">
        <v>0</v>
      </c>
      <c r="U868">
        <v>1</v>
      </c>
      <c r="V868">
        <v>0</v>
      </c>
      <c r="W868">
        <v>1</v>
      </c>
      <c r="X868">
        <v>0</v>
      </c>
      <c r="Y868">
        <v>0</v>
      </c>
      <c r="Z868" t="s">
        <v>710</v>
      </c>
      <c r="AA868" t="s">
        <v>711</v>
      </c>
      <c r="AB868" t="s">
        <v>712</v>
      </c>
      <c r="AD868" t="s">
        <v>713</v>
      </c>
    </row>
    <row r="869" spans="1:30">
      <c r="A869" s="8">
        <v>2020</v>
      </c>
      <c r="B869" s="8">
        <v>245</v>
      </c>
      <c r="D869" s="8" t="s">
        <v>60</v>
      </c>
      <c r="F869" t="s">
        <v>61</v>
      </c>
      <c r="G869" s="8" t="s">
        <v>193</v>
      </c>
      <c r="H869" t="s">
        <v>185</v>
      </c>
      <c r="I869" t="s">
        <v>155</v>
      </c>
      <c r="J869" t="s">
        <v>188</v>
      </c>
      <c r="K869" s="8" t="s">
        <v>41</v>
      </c>
      <c r="L869" t="s">
        <v>155</v>
      </c>
      <c r="O869">
        <v>0</v>
      </c>
      <c r="P869">
        <v>0</v>
      </c>
      <c r="Q869">
        <v>0</v>
      </c>
      <c r="R869">
        <v>1</v>
      </c>
      <c r="S869">
        <v>0</v>
      </c>
      <c r="T869">
        <v>0</v>
      </c>
      <c r="U869">
        <v>1</v>
      </c>
      <c r="V869">
        <v>0</v>
      </c>
      <c r="W869">
        <v>1</v>
      </c>
      <c r="X869">
        <v>0</v>
      </c>
      <c r="Y869">
        <v>0</v>
      </c>
      <c r="Z869" t="s">
        <v>710</v>
      </c>
      <c r="AA869" t="s">
        <v>711</v>
      </c>
      <c r="AB869" t="s">
        <v>712</v>
      </c>
      <c r="AD869" t="s">
        <v>713</v>
      </c>
    </row>
    <row r="870" spans="1:30">
      <c r="A870" s="8">
        <v>2020</v>
      </c>
      <c r="B870" s="8">
        <v>245</v>
      </c>
      <c r="D870" s="8" t="s">
        <v>60</v>
      </c>
      <c r="F870" t="s">
        <v>61</v>
      </c>
      <c r="G870" s="8" t="s">
        <v>616</v>
      </c>
      <c r="I870" t="s">
        <v>155</v>
      </c>
      <c r="J870" t="s">
        <v>188</v>
      </c>
      <c r="K870" s="8" t="s">
        <v>41</v>
      </c>
      <c r="L870" t="s">
        <v>155</v>
      </c>
      <c r="O870">
        <v>0</v>
      </c>
      <c r="P870">
        <v>0</v>
      </c>
      <c r="Q870">
        <v>0</v>
      </c>
      <c r="R870">
        <v>1</v>
      </c>
      <c r="S870">
        <v>0</v>
      </c>
      <c r="T870">
        <v>0</v>
      </c>
      <c r="U870">
        <v>1</v>
      </c>
      <c r="V870">
        <v>0</v>
      </c>
      <c r="W870">
        <v>1</v>
      </c>
      <c r="X870">
        <v>0</v>
      </c>
      <c r="Y870">
        <v>0</v>
      </c>
      <c r="Z870" t="s">
        <v>710</v>
      </c>
      <c r="AA870" t="s">
        <v>711</v>
      </c>
      <c r="AB870" t="s">
        <v>712</v>
      </c>
      <c r="AD870" t="s">
        <v>713</v>
      </c>
    </row>
    <row r="871" spans="1:30">
      <c r="A871" s="8">
        <v>2020</v>
      </c>
      <c r="B871" s="8">
        <v>245</v>
      </c>
      <c r="D871" s="8" t="s">
        <v>60</v>
      </c>
      <c r="F871" t="s">
        <v>61</v>
      </c>
      <c r="G871" s="8" t="s">
        <v>663</v>
      </c>
      <c r="H871" t="s">
        <v>681</v>
      </c>
      <c r="I871" t="s">
        <v>155</v>
      </c>
      <c r="J871" t="s">
        <v>188</v>
      </c>
      <c r="K871" s="8" t="s">
        <v>41</v>
      </c>
      <c r="L871" t="s">
        <v>155</v>
      </c>
      <c r="O871">
        <v>0</v>
      </c>
      <c r="P871">
        <v>0</v>
      </c>
      <c r="Q871">
        <v>0</v>
      </c>
      <c r="R871">
        <v>1</v>
      </c>
      <c r="S871">
        <v>0</v>
      </c>
      <c r="T871">
        <v>0</v>
      </c>
      <c r="U871">
        <v>1</v>
      </c>
      <c r="V871">
        <v>0</v>
      </c>
      <c r="W871">
        <v>1</v>
      </c>
      <c r="X871">
        <v>0</v>
      </c>
      <c r="Y871">
        <v>0</v>
      </c>
      <c r="Z871" t="s">
        <v>710</v>
      </c>
      <c r="AA871" t="s">
        <v>711</v>
      </c>
      <c r="AB871" t="s">
        <v>712</v>
      </c>
      <c r="AD871" t="s">
        <v>713</v>
      </c>
    </row>
    <row r="872" spans="1:30">
      <c r="A872" s="8">
        <v>2020</v>
      </c>
      <c r="B872" s="8">
        <v>245</v>
      </c>
      <c r="D872" s="8" t="s">
        <v>60</v>
      </c>
      <c r="F872" t="s">
        <v>61</v>
      </c>
      <c r="G872" s="8" t="s">
        <v>249</v>
      </c>
      <c r="H872" t="s">
        <v>250</v>
      </c>
      <c r="I872" t="s">
        <v>155</v>
      </c>
      <c r="J872" t="s">
        <v>188</v>
      </c>
      <c r="K872" s="8" t="s">
        <v>41</v>
      </c>
      <c r="L872" t="s">
        <v>155</v>
      </c>
      <c r="O872">
        <v>0</v>
      </c>
      <c r="P872">
        <v>0</v>
      </c>
      <c r="Q872">
        <v>0</v>
      </c>
      <c r="R872">
        <v>1</v>
      </c>
      <c r="S872">
        <v>0</v>
      </c>
      <c r="T872">
        <v>0</v>
      </c>
      <c r="U872">
        <v>1</v>
      </c>
      <c r="V872">
        <v>0</v>
      </c>
      <c r="W872">
        <v>1</v>
      </c>
      <c r="X872">
        <v>0</v>
      </c>
      <c r="Y872">
        <v>0</v>
      </c>
      <c r="Z872" t="s">
        <v>710</v>
      </c>
      <c r="AA872" t="s">
        <v>711</v>
      </c>
      <c r="AB872" t="s">
        <v>712</v>
      </c>
      <c r="AD872" t="s">
        <v>713</v>
      </c>
    </row>
    <row r="873" spans="1:30">
      <c r="A873" s="8">
        <v>2020</v>
      </c>
      <c r="B873" s="8">
        <v>245</v>
      </c>
      <c r="D873" s="8" t="s">
        <v>60</v>
      </c>
      <c r="F873" t="s">
        <v>61</v>
      </c>
      <c r="G873" s="8" t="s">
        <v>664</v>
      </c>
      <c r="H873" t="s">
        <v>682</v>
      </c>
      <c r="I873" t="s">
        <v>155</v>
      </c>
      <c r="J873" t="s">
        <v>188</v>
      </c>
      <c r="K873" s="8" t="s">
        <v>41</v>
      </c>
      <c r="L873" t="s">
        <v>155</v>
      </c>
      <c r="O873">
        <v>0</v>
      </c>
      <c r="P873">
        <v>0</v>
      </c>
      <c r="Q873">
        <v>0</v>
      </c>
      <c r="R873">
        <v>1</v>
      </c>
      <c r="S873">
        <v>0</v>
      </c>
      <c r="T873">
        <v>0</v>
      </c>
      <c r="U873">
        <v>1</v>
      </c>
      <c r="V873">
        <v>0</v>
      </c>
      <c r="W873">
        <v>1</v>
      </c>
      <c r="X873">
        <v>0</v>
      </c>
      <c r="Y873">
        <v>0</v>
      </c>
      <c r="Z873" t="s">
        <v>710</v>
      </c>
      <c r="AA873" t="s">
        <v>711</v>
      </c>
      <c r="AB873" t="s">
        <v>712</v>
      </c>
      <c r="AD873" t="s">
        <v>713</v>
      </c>
    </row>
    <row r="874" spans="1:30">
      <c r="A874" s="8">
        <v>2020</v>
      </c>
      <c r="B874" s="8">
        <v>245</v>
      </c>
      <c r="D874" s="8" t="s">
        <v>60</v>
      </c>
      <c r="F874" t="s">
        <v>61</v>
      </c>
      <c r="G874" s="8" t="s">
        <v>665</v>
      </c>
      <c r="H874" t="s">
        <v>683</v>
      </c>
      <c r="I874" t="s">
        <v>155</v>
      </c>
      <c r="J874" t="s">
        <v>188</v>
      </c>
      <c r="K874" s="8" t="s">
        <v>41</v>
      </c>
      <c r="L874" t="s">
        <v>155</v>
      </c>
      <c r="O874">
        <v>0</v>
      </c>
      <c r="P874">
        <v>0</v>
      </c>
      <c r="Q874">
        <v>0</v>
      </c>
      <c r="R874">
        <v>1</v>
      </c>
      <c r="S874">
        <v>0</v>
      </c>
      <c r="T874">
        <v>0</v>
      </c>
      <c r="U874">
        <v>1</v>
      </c>
      <c r="V874">
        <v>0</v>
      </c>
      <c r="W874">
        <v>1</v>
      </c>
      <c r="X874">
        <v>0</v>
      </c>
      <c r="Y874">
        <v>0</v>
      </c>
      <c r="Z874" t="s">
        <v>710</v>
      </c>
      <c r="AA874" t="s">
        <v>711</v>
      </c>
      <c r="AB874" t="s">
        <v>712</v>
      </c>
      <c r="AD874" t="s">
        <v>713</v>
      </c>
    </row>
    <row r="875" spans="1:30">
      <c r="A875" s="8">
        <v>2020</v>
      </c>
      <c r="B875" s="8">
        <v>245</v>
      </c>
      <c r="D875" s="8" t="s">
        <v>60</v>
      </c>
      <c r="F875" t="s">
        <v>61</v>
      </c>
      <c r="G875" s="8" t="s">
        <v>666</v>
      </c>
      <c r="H875" t="s">
        <v>684</v>
      </c>
      <c r="I875" t="s">
        <v>155</v>
      </c>
      <c r="J875" t="s">
        <v>188</v>
      </c>
      <c r="K875" s="8" t="s">
        <v>41</v>
      </c>
      <c r="L875" t="s">
        <v>155</v>
      </c>
      <c r="O875">
        <v>0</v>
      </c>
      <c r="P875">
        <v>0</v>
      </c>
      <c r="Q875">
        <v>0</v>
      </c>
      <c r="R875">
        <v>1</v>
      </c>
      <c r="S875">
        <v>0</v>
      </c>
      <c r="T875">
        <v>0</v>
      </c>
      <c r="U875">
        <v>1</v>
      </c>
      <c r="V875">
        <v>0</v>
      </c>
      <c r="W875">
        <v>1</v>
      </c>
      <c r="X875">
        <v>0</v>
      </c>
      <c r="Y875">
        <v>0</v>
      </c>
      <c r="Z875" t="s">
        <v>710</v>
      </c>
      <c r="AA875" t="s">
        <v>711</v>
      </c>
      <c r="AB875" t="s">
        <v>712</v>
      </c>
      <c r="AD875" t="s">
        <v>713</v>
      </c>
    </row>
    <row r="876" spans="1:30">
      <c r="A876" s="8">
        <v>2020</v>
      </c>
      <c r="B876" s="8">
        <v>245</v>
      </c>
      <c r="D876" s="8" t="s">
        <v>60</v>
      </c>
      <c r="F876" t="s">
        <v>61</v>
      </c>
      <c r="G876" s="8" t="s">
        <v>667</v>
      </c>
      <c r="H876" t="s">
        <v>685</v>
      </c>
      <c r="I876" t="s">
        <v>155</v>
      </c>
      <c r="J876" t="s">
        <v>188</v>
      </c>
      <c r="K876" s="8" t="s">
        <v>41</v>
      </c>
      <c r="L876" t="s">
        <v>155</v>
      </c>
      <c r="O876">
        <v>0</v>
      </c>
      <c r="P876">
        <v>0</v>
      </c>
      <c r="Q876">
        <v>0</v>
      </c>
      <c r="R876">
        <v>1</v>
      </c>
      <c r="S876">
        <v>0</v>
      </c>
      <c r="T876">
        <v>0</v>
      </c>
      <c r="U876">
        <v>1</v>
      </c>
      <c r="V876">
        <v>0</v>
      </c>
      <c r="W876">
        <v>1</v>
      </c>
      <c r="X876">
        <v>0</v>
      </c>
      <c r="Y876">
        <v>0</v>
      </c>
      <c r="Z876" t="s">
        <v>710</v>
      </c>
      <c r="AA876" t="s">
        <v>711</v>
      </c>
      <c r="AB876" t="s">
        <v>712</v>
      </c>
      <c r="AD876" t="s">
        <v>713</v>
      </c>
    </row>
    <row r="877" spans="1:30">
      <c r="A877" s="8">
        <v>2020</v>
      </c>
      <c r="B877" s="8">
        <v>245</v>
      </c>
      <c r="D877" s="8" t="s">
        <v>60</v>
      </c>
      <c r="F877" t="s">
        <v>61</v>
      </c>
      <c r="G877" s="8" t="s">
        <v>668</v>
      </c>
      <c r="H877" t="s">
        <v>686</v>
      </c>
      <c r="I877" t="s">
        <v>155</v>
      </c>
      <c r="J877" t="s">
        <v>188</v>
      </c>
      <c r="K877" s="8" t="s">
        <v>41</v>
      </c>
      <c r="L877" t="s">
        <v>155</v>
      </c>
      <c r="O877">
        <v>0</v>
      </c>
      <c r="P877">
        <v>0</v>
      </c>
      <c r="Q877">
        <v>0</v>
      </c>
      <c r="R877">
        <v>1</v>
      </c>
      <c r="S877">
        <v>0</v>
      </c>
      <c r="T877">
        <v>0</v>
      </c>
      <c r="U877">
        <v>1</v>
      </c>
      <c r="V877">
        <v>0</v>
      </c>
      <c r="W877">
        <v>1</v>
      </c>
      <c r="X877">
        <v>0</v>
      </c>
      <c r="Y877">
        <v>0</v>
      </c>
      <c r="Z877" t="s">
        <v>710</v>
      </c>
      <c r="AA877" t="s">
        <v>711</v>
      </c>
      <c r="AB877" t="s">
        <v>712</v>
      </c>
      <c r="AD877" t="s">
        <v>713</v>
      </c>
    </row>
    <row r="878" spans="1:30">
      <c r="A878" s="8">
        <v>2020</v>
      </c>
      <c r="B878" s="8">
        <v>245</v>
      </c>
      <c r="D878" s="8" t="s">
        <v>60</v>
      </c>
      <c r="F878" t="s">
        <v>61</v>
      </c>
      <c r="G878" s="8" t="s">
        <v>669</v>
      </c>
      <c r="H878" t="s">
        <v>687</v>
      </c>
      <c r="I878" t="s">
        <v>155</v>
      </c>
      <c r="J878" t="s">
        <v>188</v>
      </c>
      <c r="K878" s="8" t="s">
        <v>41</v>
      </c>
      <c r="L878" t="s">
        <v>155</v>
      </c>
      <c r="O878">
        <v>0</v>
      </c>
      <c r="P878">
        <v>0</v>
      </c>
      <c r="Q878">
        <v>0</v>
      </c>
      <c r="R878">
        <v>1</v>
      </c>
      <c r="S878">
        <v>0</v>
      </c>
      <c r="T878">
        <v>0</v>
      </c>
      <c r="U878">
        <v>1</v>
      </c>
      <c r="V878">
        <v>0</v>
      </c>
      <c r="W878">
        <v>1</v>
      </c>
      <c r="X878">
        <v>0</v>
      </c>
      <c r="Y878">
        <v>0</v>
      </c>
      <c r="Z878" t="s">
        <v>710</v>
      </c>
      <c r="AA878" t="s">
        <v>711</v>
      </c>
      <c r="AB878" t="s">
        <v>712</v>
      </c>
      <c r="AD878" t="s">
        <v>713</v>
      </c>
    </row>
    <row r="879" spans="1:30">
      <c r="A879" s="8">
        <v>2020</v>
      </c>
      <c r="B879" s="8">
        <v>245</v>
      </c>
      <c r="D879" s="8" t="s">
        <v>60</v>
      </c>
      <c r="F879" t="s">
        <v>61</v>
      </c>
      <c r="G879" s="8" t="s">
        <v>670</v>
      </c>
      <c r="H879" t="s">
        <v>688</v>
      </c>
      <c r="I879" t="s">
        <v>155</v>
      </c>
      <c r="J879" t="s">
        <v>188</v>
      </c>
      <c r="K879" s="8" t="s">
        <v>41</v>
      </c>
      <c r="L879" t="s">
        <v>155</v>
      </c>
      <c r="O879">
        <v>0</v>
      </c>
      <c r="P879">
        <v>0</v>
      </c>
      <c r="Q879">
        <v>0</v>
      </c>
      <c r="R879">
        <v>1</v>
      </c>
      <c r="S879">
        <v>0</v>
      </c>
      <c r="T879">
        <v>0</v>
      </c>
      <c r="U879">
        <v>1</v>
      </c>
      <c r="V879">
        <v>0</v>
      </c>
      <c r="W879">
        <v>1</v>
      </c>
      <c r="X879">
        <v>0</v>
      </c>
      <c r="Y879">
        <v>0</v>
      </c>
      <c r="Z879" t="s">
        <v>710</v>
      </c>
      <c r="AA879" t="s">
        <v>711</v>
      </c>
      <c r="AB879" t="s">
        <v>712</v>
      </c>
      <c r="AD879" t="s">
        <v>713</v>
      </c>
    </row>
    <row r="880" spans="1:30">
      <c r="A880" s="8">
        <v>2020</v>
      </c>
      <c r="B880" s="8">
        <v>245</v>
      </c>
      <c r="D880" s="8" t="s">
        <v>60</v>
      </c>
      <c r="F880" t="s">
        <v>61</v>
      </c>
      <c r="G880" s="8" t="s">
        <v>671</v>
      </c>
      <c r="H880" t="s">
        <v>689</v>
      </c>
      <c r="I880" t="s">
        <v>155</v>
      </c>
      <c r="J880" t="s">
        <v>188</v>
      </c>
      <c r="K880" s="8" t="s">
        <v>41</v>
      </c>
      <c r="L880" t="s">
        <v>155</v>
      </c>
      <c r="O880">
        <v>0</v>
      </c>
      <c r="P880">
        <v>0</v>
      </c>
      <c r="Q880">
        <v>0</v>
      </c>
      <c r="R880">
        <v>1</v>
      </c>
      <c r="S880">
        <v>0</v>
      </c>
      <c r="T880">
        <v>0</v>
      </c>
      <c r="U880">
        <v>1</v>
      </c>
      <c r="V880">
        <v>0</v>
      </c>
      <c r="W880">
        <v>1</v>
      </c>
      <c r="X880">
        <v>0</v>
      </c>
      <c r="Y880">
        <v>0</v>
      </c>
      <c r="Z880" t="s">
        <v>710</v>
      </c>
      <c r="AA880" t="s">
        <v>711</v>
      </c>
      <c r="AB880" t="s">
        <v>712</v>
      </c>
      <c r="AD880" t="s">
        <v>713</v>
      </c>
    </row>
    <row r="881" spans="1:30">
      <c r="A881" s="8">
        <v>2020</v>
      </c>
      <c r="B881" s="8">
        <v>245</v>
      </c>
      <c r="D881" s="8" t="s">
        <v>60</v>
      </c>
      <c r="F881" t="s">
        <v>61</v>
      </c>
      <c r="G881" s="8" t="s">
        <v>672</v>
      </c>
      <c r="H881" t="s">
        <v>690</v>
      </c>
      <c r="I881" t="s">
        <v>155</v>
      </c>
      <c r="J881" t="s">
        <v>188</v>
      </c>
      <c r="K881" s="8" t="s">
        <v>41</v>
      </c>
      <c r="L881" t="s">
        <v>155</v>
      </c>
      <c r="O881">
        <v>0</v>
      </c>
      <c r="P881">
        <v>0</v>
      </c>
      <c r="Q881">
        <v>0</v>
      </c>
      <c r="R881">
        <v>1</v>
      </c>
      <c r="S881">
        <v>0</v>
      </c>
      <c r="T881">
        <v>0</v>
      </c>
      <c r="U881">
        <v>1</v>
      </c>
      <c r="V881">
        <v>0</v>
      </c>
      <c r="W881">
        <v>1</v>
      </c>
      <c r="X881">
        <v>0</v>
      </c>
      <c r="Y881">
        <v>0</v>
      </c>
      <c r="Z881" t="s">
        <v>710</v>
      </c>
      <c r="AA881" t="s">
        <v>711</v>
      </c>
      <c r="AB881" t="s">
        <v>712</v>
      </c>
      <c r="AD881" t="s">
        <v>713</v>
      </c>
    </row>
    <row r="882" spans="1:30">
      <c r="A882" s="8">
        <v>2020</v>
      </c>
      <c r="B882" s="8">
        <v>245</v>
      </c>
      <c r="D882" s="8" t="s">
        <v>60</v>
      </c>
      <c r="F882" t="s">
        <v>61</v>
      </c>
      <c r="G882" s="8" t="s">
        <v>673</v>
      </c>
      <c r="H882" t="s">
        <v>691</v>
      </c>
      <c r="I882" t="s">
        <v>155</v>
      </c>
      <c r="J882" t="s">
        <v>188</v>
      </c>
      <c r="K882" s="8" t="s">
        <v>41</v>
      </c>
      <c r="L882" t="s">
        <v>155</v>
      </c>
      <c r="O882">
        <v>0</v>
      </c>
      <c r="P882">
        <v>0</v>
      </c>
      <c r="Q882">
        <v>0</v>
      </c>
      <c r="R882">
        <v>1</v>
      </c>
      <c r="S882">
        <v>0</v>
      </c>
      <c r="T882">
        <v>0</v>
      </c>
      <c r="U882">
        <v>1</v>
      </c>
      <c r="V882">
        <v>0</v>
      </c>
      <c r="W882">
        <v>1</v>
      </c>
      <c r="X882">
        <v>0</v>
      </c>
      <c r="Y882">
        <v>0</v>
      </c>
      <c r="Z882" t="s">
        <v>710</v>
      </c>
      <c r="AA882" t="s">
        <v>711</v>
      </c>
      <c r="AB882" t="s">
        <v>712</v>
      </c>
      <c r="AD882" t="s">
        <v>713</v>
      </c>
    </row>
    <row r="883" spans="1:30">
      <c r="A883" s="8">
        <v>2020</v>
      </c>
      <c r="B883" s="8">
        <v>245</v>
      </c>
      <c r="D883" s="8" t="s">
        <v>60</v>
      </c>
      <c r="F883" t="s">
        <v>61</v>
      </c>
      <c r="G883" s="8" t="s">
        <v>674</v>
      </c>
      <c r="H883" t="s">
        <v>692</v>
      </c>
      <c r="I883" t="s">
        <v>155</v>
      </c>
      <c r="J883" t="s">
        <v>188</v>
      </c>
      <c r="K883" s="8" t="s">
        <v>41</v>
      </c>
      <c r="L883" t="s">
        <v>155</v>
      </c>
      <c r="O883">
        <v>0</v>
      </c>
      <c r="P883">
        <v>0</v>
      </c>
      <c r="Q883">
        <v>0</v>
      </c>
      <c r="R883">
        <v>1</v>
      </c>
      <c r="S883">
        <v>0</v>
      </c>
      <c r="T883">
        <v>0</v>
      </c>
      <c r="U883">
        <v>1</v>
      </c>
      <c r="V883">
        <v>0</v>
      </c>
      <c r="W883">
        <v>1</v>
      </c>
      <c r="X883">
        <v>0</v>
      </c>
      <c r="Y883">
        <v>0</v>
      </c>
      <c r="Z883" t="s">
        <v>710</v>
      </c>
      <c r="AA883" t="s">
        <v>711</v>
      </c>
      <c r="AB883" t="s">
        <v>712</v>
      </c>
      <c r="AD883" t="s">
        <v>713</v>
      </c>
    </row>
    <row r="884" spans="1:30">
      <c r="A884" s="8">
        <v>2020</v>
      </c>
      <c r="B884" s="8">
        <v>245</v>
      </c>
      <c r="D884" s="8" t="s">
        <v>60</v>
      </c>
      <c r="F884" t="s">
        <v>61</v>
      </c>
      <c r="G884" s="8" t="s">
        <v>675</v>
      </c>
      <c r="H884" t="s">
        <v>693</v>
      </c>
      <c r="I884" t="s">
        <v>155</v>
      </c>
      <c r="J884" t="s">
        <v>188</v>
      </c>
      <c r="K884" s="8" t="s">
        <v>41</v>
      </c>
      <c r="L884" t="s">
        <v>155</v>
      </c>
      <c r="O884">
        <v>0</v>
      </c>
      <c r="P884">
        <v>0</v>
      </c>
      <c r="Q884">
        <v>0</v>
      </c>
      <c r="R884">
        <v>1</v>
      </c>
      <c r="S884">
        <v>0</v>
      </c>
      <c r="T884">
        <v>0</v>
      </c>
      <c r="U884">
        <v>1</v>
      </c>
      <c r="V884">
        <v>0</v>
      </c>
      <c r="W884">
        <v>1</v>
      </c>
      <c r="X884">
        <v>0</v>
      </c>
      <c r="Y884">
        <v>0</v>
      </c>
      <c r="Z884" t="s">
        <v>710</v>
      </c>
      <c r="AA884" t="s">
        <v>711</v>
      </c>
      <c r="AB884" t="s">
        <v>712</v>
      </c>
      <c r="AD884" t="s">
        <v>713</v>
      </c>
    </row>
    <row r="885" spans="1:30">
      <c r="A885" s="8">
        <v>2020</v>
      </c>
      <c r="B885" s="8">
        <v>245</v>
      </c>
      <c r="D885" s="8" t="s">
        <v>60</v>
      </c>
      <c r="F885" t="s">
        <v>61</v>
      </c>
      <c r="G885" s="8" t="s">
        <v>676</v>
      </c>
      <c r="H885" t="s">
        <v>694</v>
      </c>
      <c r="I885" t="s">
        <v>155</v>
      </c>
      <c r="J885" t="s">
        <v>188</v>
      </c>
      <c r="K885" s="8" t="s">
        <v>41</v>
      </c>
      <c r="L885" t="s">
        <v>155</v>
      </c>
      <c r="O885">
        <v>0</v>
      </c>
      <c r="P885">
        <v>0</v>
      </c>
      <c r="Q885">
        <v>0</v>
      </c>
      <c r="R885">
        <v>1</v>
      </c>
      <c r="S885">
        <v>0</v>
      </c>
      <c r="T885">
        <v>0</v>
      </c>
      <c r="U885">
        <v>1</v>
      </c>
      <c r="V885">
        <v>0</v>
      </c>
      <c r="W885">
        <v>1</v>
      </c>
      <c r="X885">
        <v>0</v>
      </c>
      <c r="Y885">
        <v>0</v>
      </c>
      <c r="Z885" t="s">
        <v>710</v>
      </c>
      <c r="AA885" t="s">
        <v>711</v>
      </c>
      <c r="AB885" t="s">
        <v>712</v>
      </c>
      <c r="AD885" t="s">
        <v>713</v>
      </c>
    </row>
    <row r="886" spans="1:30">
      <c r="A886" s="8">
        <v>2020</v>
      </c>
      <c r="B886" s="8">
        <v>245</v>
      </c>
      <c r="D886" s="8" t="s">
        <v>60</v>
      </c>
      <c r="F886" t="s">
        <v>61</v>
      </c>
      <c r="G886" s="8" t="s">
        <v>330</v>
      </c>
      <c r="H886" t="s">
        <v>338</v>
      </c>
      <c r="I886" t="s">
        <v>155</v>
      </c>
      <c r="J886" t="s">
        <v>188</v>
      </c>
      <c r="K886" s="8" t="s">
        <v>41</v>
      </c>
      <c r="L886" t="s">
        <v>155</v>
      </c>
      <c r="O886">
        <v>0</v>
      </c>
      <c r="P886">
        <v>0</v>
      </c>
      <c r="Q886">
        <v>0</v>
      </c>
      <c r="R886">
        <v>1</v>
      </c>
      <c r="S886">
        <v>0</v>
      </c>
      <c r="T886">
        <v>0</v>
      </c>
      <c r="U886">
        <v>1</v>
      </c>
      <c r="V886">
        <v>0</v>
      </c>
      <c r="W886">
        <v>1</v>
      </c>
      <c r="X886">
        <v>0</v>
      </c>
      <c r="Y886">
        <v>0</v>
      </c>
      <c r="Z886" t="s">
        <v>710</v>
      </c>
      <c r="AA886" t="s">
        <v>711</v>
      </c>
      <c r="AB886" t="s">
        <v>712</v>
      </c>
      <c r="AD886" t="s">
        <v>713</v>
      </c>
    </row>
    <row r="887" spans="1:30">
      <c r="A887" s="8">
        <v>2020</v>
      </c>
      <c r="B887" s="8">
        <v>245</v>
      </c>
      <c r="D887" s="8" t="s">
        <v>60</v>
      </c>
      <c r="F887" t="s">
        <v>61</v>
      </c>
      <c r="G887" s="8" t="s">
        <v>62</v>
      </c>
      <c r="H887" t="s">
        <v>63</v>
      </c>
      <c r="I887" t="s">
        <v>155</v>
      </c>
      <c r="J887" t="s">
        <v>188</v>
      </c>
      <c r="K887" s="8" t="s">
        <v>41</v>
      </c>
      <c r="L887" t="s">
        <v>155</v>
      </c>
      <c r="O887">
        <v>0</v>
      </c>
      <c r="P887">
        <v>0</v>
      </c>
      <c r="Q887">
        <v>0</v>
      </c>
      <c r="R887">
        <v>1</v>
      </c>
      <c r="S887">
        <v>0</v>
      </c>
      <c r="T887">
        <v>0</v>
      </c>
      <c r="U887">
        <v>1</v>
      </c>
      <c r="V887">
        <v>0</v>
      </c>
      <c r="W887">
        <v>1</v>
      </c>
      <c r="X887">
        <v>0</v>
      </c>
      <c r="Y887">
        <v>0</v>
      </c>
      <c r="Z887" t="s">
        <v>710</v>
      </c>
      <c r="AA887" t="s">
        <v>711</v>
      </c>
      <c r="AB887" t="s">
        <v>712</v>
      </c>
      <c r="AD887" t="s">
        <v>713</v>
      </c>
    </row>
    <row r="888" spans="1:30">
      <c r="A888" s="8">
        <v>2020</v>
      </c>
      <c r="B888" s="8">
        <v>245</v>
      </c>
      <c r="D888" s="8" t="s">
        <v>60</v>
      </c>
      <c r="F888" t="s">
        <v>61</v>
      </c>
      <c r="G888" s="8" t="s">
        <v>677</v>
      </c>
      <c r="H888" t="s">
        <v>695</v>
      </c>
      <c r="I888" t="s">
        <v>155</v>
      </c>
      <c r="J888" t="s">
        <v>188</v>
      </c>
      <c r="K888" s="8" t="s">
        <v>41</v>
      </c>
      <c r="L888" t="s">
        <v>155</v>
      </c>
      <c r="O888">
        <v>0</v>
      </c>
      <c r="P888">
        <v>0</v>
      </c>
      <c r="Q888">
        <v>0</v>
      </c>
      <c r="R888">
        <v>1</v>
      </c>
      <c r="S888">
        <v>0</v>
      </c>
      <c r="T888">
        <v>0</v>
      </c>
      <c r="U888">
        <v>1</v>
      </c>
      <c r="V888">
        <v>0</v>
      </c>
      <c r="W888">
        <v>1</v>
      </c>
      <c r="X888">
        <v>0</v>
      </c>
      <c r="Y888">
        <v>0</v>
      </c>
      <c r="Z888" t="s">
        <v>710</v>
      </c>
      <c r="AA888" t="s">
        <v>711</v>
      </c>
      <c r="AB888" t="s">
        <v>712</v>
      </c>
      <c r="AD888" t="s">
        <v>713</v>
      </c>
    </row>
    <row r="889" spans="1:30">
      <c r="A889" s="8">
        <v>2020</v>
      </c>
      <c r="B889" s="8">
        <v>245</v>
      </c>
      <c r="D889" s="8" t="s">
        <v>60</v>
      </c>
      <c r="F889" t="s">
        <v>61</v>
      </c>
      <c r="G889" s="8" t="s">
        <v>196</v>
      </c>
      <c r="H889" t="s">
        <v>197</v>
      </c>
      <c r="I889" t="s">
        <v>155</v>
      </c>
      <c r="J889" t="s">
        <v>188</v>
      </c>
      <c r="K889" s="8" t="s">
        <v>41</v>
      </c>
      <c r="L889" t="s">
        <v>155</v>
      </c>
      <c r="O889">
        <v>0</v>
      </c>
      <c r="P889">
        <v>0</v>
      </c>
      <c r="Q889">
        <v>0</v>
      </c>
      <c r="R889">
        <v>1</v>
      </c>
      <c r="S889">
        <v>0</v>
      </c>
      <c r="T889">
        <v>0</v>
      </c>
      <c r="U889">
        <v>1</v>
      </c>
      <c r="V889">
        <v>0</v>
      </c>
      <c r="W889">
        <v>1</v>
      </c>
      <c r="X889">
        <v>0</v>
      </c>
      <c r="Y889">
        <v>0</v>
      </c>
      <c r="Z889" t="s">
        <v>710</v>
      </c>
      <c r="AA889" t="s">
        <v>711</v>
      </c>
      <c r="AB889" t="s">
        <v>712</v>
      </c>
      <c r="AD889" t="s">
        <v>713</v>
      </c>
    </row>
    <row r="890" spans="1:30">
      <c r="A890" s="8">
        <v>2020</v>
      </c>
      <c r="B890" s="8">
        <v>245</v>
      </c>
      <c r="D890" s="8" t="s">
        <v>60</v>
      </c>
      <c r="F890" t="s">
        <v>61</v>
      </c>
      <c r="G890" s="8" t="s">
        <v>18</v>
      </c>
      <c r="H890" t="s">
        <v>19</v>
      </c>
      <c r="I890" t="s">
        <v>155</v>
      </c>
      <c r="J890" t="s">
        <v>188</v>
      </c>
      <c r="K890" s="8" t="s">
        <v>41</v>
      </c>
      <c r="L890" t="s">
        <v>155</v>
      </c>
      <c r="O890">
        <v>0</v>
      </c>
      <c r="P890">
        <v>0</v>
      </c>
      <c r="Q890">
        <v>0</v>
      </c>
      <c r="R890">
        <v>1</v>
      </c>
      <c r="S890">
        <v>0</v>
      </c>
      <c r="T890">
        <v>0</v>
      </c>
      <c r="U890">
        <v>1</v>
      </c>
      <c r="V890">
        <v>0</v>
      </c>
      <c r="W890">
        <v>1</v>
      </c>
      <c r="X890">
        <v>0</v>
      </c>
      <c r="Y890">
        <v>0</v>
      </c>
      <c r="Z890" t="s">
        <v>710</v>
      </c>
      <c r="AA890" t="s">
        <v>711</v>
      </c>
      <c r="AB890" t="s">
        <v>712</v>
      </c>
      <c r="AD890" t="s">
        <v>713</v>
      </c>
    </row>
    <row r="891" spans="1:30">
      <c r="A891" s="8">
        <v>2020</v>
      </c>
      <c r="B891" s="8">
        <v>245</v>
      </c>
      <c r="D891" s="8" t="s">
        <v>60</v>
      </c>
      <c r="F891" t="s">
        <v>61</v>
      </c>
      <c r="G891" s="8" t="s">
        <v>331</v>
      </c>
      <c r="H891" t="s">
        <v>339</v>
      </c>
      <c r="I891" t="s">
        <v>155</v>
      </c>
      <c r="J891" t="s">
        <v>188</v>
      </c>
      <c r="K891" s="8" t="s">
        <v>41</v>
      </c>
      <c r="L891" t="s">
        <v>155</v>
      </c>
      <c r="O891">
        <v>0</v>
      </c>
      <c r="P891">
        <v>0</v>
      </c>
      <c r="Q891">
        <v>0</v>
      </c>
      <c r="R891">
        <v>1</v>
      </c>
      <c r="S891">
        <v>0</v>
      </c>
      <c r="T891">
        <v>0</v>
      </c>
      <c r="U891">
        <v>1</v>
      </c>
      <c r="V891">
        <v>0</v>
      </c>
      <c r="W891">
        <v>1</v>
      </c>
      <c r="X891">
        <v>0</v>
      </c>
      <c r="Y891">
        <v>0</v>
      </c>
      <c r="Z891" t="s">
        <v>710</v>
      </c>
      <c r="AA891" t="s">
        <v>711</v>
      </c>
      <c r="AB891" t="s">
        <v>712</v>
      </c>
      <c r="AD891" t="s">
        <v>713</v>
      </c>
    </row>
    <row r="892" spans="1:30">
      <c r="A892" s="8">
        <v>2020</v>
      </c>
      <c r="B892" s="8">
        <v>245</v>
      </c>
      <c r="D892" s="8" t="s">
        <v>60</v>
      </c>
      <c r="F892" t="s">
        <v>61</v>
      </c>
      <c r="G892" s="8" t="s">
        <v>153</v>
      </c>
      <c r="H892" t="s">
        <v>186</v>
      </c>
      <c r="I892" t="s">
        <v>155</v>
      </c>
      <c r="J892" t="s">
        <v>188</v>
      </c>
      <c r="K892" s="8" t="s">
        <v>41</v>
      </c>
      <c r="L892" t="s">
        <v>155</v>
      </c>
      <c r="O892">
        <v>0</v>
      </c>
      <c r="P892">
        <v>0</v>
      </c>
      <c r="Q892">
        <v>0</v>
      </c>
      <c r="R892">
        <v>1</v>
      </c>
      <c r="S892">
        <v>0</v>
      </c>
      <c r="T892">
        <v>0</v>
      </c>
      <c r="U892">
        <v>1</v>
      </c>
      <c r="V892">
        <v>0</v>
      </c>
      <c r="W892">
        <v>1</v>
      </c>
      <c r="X892">
        <v>0</v>
      </c>
      <c r="Y892">
        <v>0</v>
      </c>
      <c r="Z892" t="s">
        <v>710</v>
      </c>
      <c r="AA892" t="s">
        <v>711</v>
      </c>
      <c r="AB892" t="s">
        <v>712</v>
      </c>
      <c r="AD892" t="s">
        <v>713</v>
      </c>
    </row>
    <row r="893" spans="1:30">
      <c r="A893" s="8">
        <v>2020</v>
      </c>
      <c r="B893" s="8">
        <v>245</v>
      </c>
      <c r="D893" s="8" t="s">
        <v>60</v>
      </c>
      <c r="F893" t="s">
        <v>61</v>
      </c>
      <c r="G893" s="8" t="s">
        <v>852</v>
      </c>
      <c r="H893" t="s">
        <v>562</v>
      </c>
      <c r="I893" t="s">
        <v>155</v>
      </c>
      <c r="J893" t="s">
        <v>188</v>
      </c>
      <c r="K893" s="8" t="s">
        <v>41</v>
      </c>
      <c r="L893" t="s">
        <v>155</v>
      </c>
      <c r="O893">
        <v>0</v>
      </c>
      <c r="P893">
        <v>0</v>
      </c>
      <c r="Q893">
        <v>0</v>
      </c>
      <c r="R893">
        <v>1</v>
      </c>
      <c r="S893">
        <v>0</v>
      </c>
      <c r="T893">
        <v>0</v>
      </c>
      <c r="U893">
        <v>1</v>
      </c>
      <c r="V893">
        <v>0</v>
      </c>
      <c r="W893">
        <v>1</v>
      </c>
      <c r="X893">
        <v>0</v>
      </c>
      <c r="Y893">
        <v>0</v>
      </c>
      <c r="Z893" t="s">
        <v>710</v>
      </c>
      <c r="AA893" t="s">
        <v>711</v>
      </c>
      <c r="AB893" t="s">
        <v>712</v>
      </c>
      <c r="AD893" t="s">
        <v>713</v>
      </c>
    </row>
    <row r="894" spans="1:30">
      <c r="A894" s="8">
        <v>2020</v>
      </c>
      <c r="B894" s="8">
        <v>245</v>
      </c>
      <c r="D894" s="8" t="s">
        <v>60</v>
      </c>
      <c r="F894" t="s">
        <v>61</v>
      </c>
      <c r="G894" s="8" t="s">
        <v>610</v>
      </c>
      <c r="I894" t="s">
        <v>155</v>
      </c>
      <c r="J894" t="s">
        <v>188</v>
      </c>
      <c r="K894" s="8" t="s">
        <v>41</v>
      </c>
      <c r="L894" t="s">
        <v>155</v>
      </c>
      <c r="O894">
        <v>0</v>
      </c>
      <c r="P894">
        <v>0</v>
      </c>
      <c r="Q894">
        <v>0</v>
      </c>
      <c r="R894">
        <v>1</v>
      </c>
      <c r="S894">
        <v>0</v>
      </c>
      <c r="T894">
        <v>0</v>
      </c>
      <c r="U894">
        <v>1</v>
      </c>
      <c r="V894">
        <v>0</v>
      </c>
      <c r="W894">
        <v>1</v>
      </c>
      <c r="X894">
        <v>0</v>
      </c>
      <c r="Y894">
        <v>0</v>
      </c>
      <c r="Z894" t="s">
        <v>710</v>
      </c>
      <c r="AA894" t="s">
        <v>711</v>
      </c>
      <c r="AB894" t="s">
        <v>712</v>
      </c>
      <c r="AD894" t="s">
        <v>713</v>
      </c>
    </row>
    <row r="895" spans="1:30">
      <c r="A895" s="8">
        <v>2020</v>
      </c>
      <c r="B895" s="8">
        <v>245</v>
      </c>
      <c r="D895" s="8" t="s">
        <v>60</v>
      </c>
      <c r="F895" t="s">
        <v>61</v>
      </c>
      <c r="G895" s="8" t="s">
        <v>26</v>
      </c>
      <c r="I895" t="s">
        <v>155</v>
      </c>
      <c r="J895" t="s">
        <v>188</v>
      </c>
      <c r="K895" s="8" t="s">
        <v>41</v>
      </c>
      <c r="L895" t="s">
        <v>155</v>
      </c>
      <c r="O895">
        <v>0</v>
      </c>
      <c r="P895">
        <v>0</v>
      </c>
      <c r="Q895">
        <v>0</v>
      </c>
      <c r="R895">
        <v>1</v>
      </c>
      <c r="S895">
        <v>0</v>
      </c>
      <c r="T895">
        <v>0</v>
      </c>
      <c r="U895">
        <v>1</v>
      </c>
      <c r="V895">
        <v>0</v>
      </c>
      <c r="W895">
        <v>1</v>
      </c>
      <c r="X895">
        <v>0</v>
      </c>
      <c r="Y895">
        <v>0</v>
      </c>
      <c r="Z895" t="s">
        <v>710</v>
      </c>
      <c r="AA895" t="s">
        <v>711</v>
      </c>
      <c r="AB895" t="s">
        <v>712</v>
      </c>
      <c r="AD895" t="s">
        <v>713</v>
      </c>
    </row>
    <row r="896" spans="1:30">
      <c r="A896" s="8">
        <v>2020</v>
      </c>
      <c r="B896" s="8">
        <v>245</v>
      </c>
      <c r="D896" s="8" t="s">
        <v>60</v>
      </c>
      <c r="F896" t="s">
        <v>61</v>
      </c>
      <c r="G896" s="8" t="s">
        <v>678</v>
      </c>
      <c r="I896" t="s">
        <v>155</v>
      </c>
      <c r="J896" t="s">
        <v>188</v>
      </c>
      <c r="K896" s="8" t="s">
        <v>41</v>
      </c>
      <c r="L896" t="s">
        <v>155</v>
      </c>
      <c r="O896">
        <v>0</v>
      </c>
      <c r="P896">
        <v>0</v>
      </c>
      <c r="Q896">
        <v>0</v>
      </c>
      <c r="R896">
        <v>1</v>
      </c>
      <c r="S896">
        <v>0</v>
      </c>
      <c r="T896">
        <v>0</v>
      </c>
      <c r="U896">
        <v>1</v>
      </c>
      <c r="V896">
        <v>0</v>
      </c>
      <c r="W896">
        <v>1</v>
      </c>
      <c r="X896">
        <v>0</v>
      </c>
      <c r="Y896">
        <v>0</v>
      </c>
      <c r="Z896" t="s">
        <v>710</v>
      </c>
      <c r="AA896" t="s">
        <v>711</v>
      </c>
      <c r="AB896" t="s">
        <v>712</v>
      </c>
      <c r="AD896" t="s">
        <v>713</v>
      </c>
    </row>
    <row r="897" spans="1:36">
      <c r="A897" s="8">
        <v>2020</v>
      </c>
      <c r="B897" s="8">
        <v>245</v>
      </c>
      <c r="D897" s="8" t="s">
        <v>60</v>
      </c>
      <c r="F897" t="s">
        <v>61</v>
      </c>
      <c r="G897" s="8" t="s">
        <v>35</v>
      </c>
      <c r="I897" t="s">
        <v>155</v>
      </c>
      <c r="J897" t="s">
        <v>188</v>
      </c>
      <c r="K897" s="8" t="s">
        <v>41</v>
      </c>
      <c r="L897" t="s">
        <v>155</v>
      </c>
      <c r="O897">
        <v>0</v>
      </c>
      <c r="P897">
        <v>0</v>
      </c>
      <c r="Q897">
        <v>0</v>
      </c>
      <c r="R897">
        <v>1</v>
      </c>
      <c r="S897">
        <v>0</v>
      </c>
      <c r="T897">
        <v>0</v>
      </c>
      <c r="U897">
        <v>1</v>
      </c>
      <c r="V897">
        <v>0</v>
      </c>
      <c r="W897">
        <v>1</v>
      </c>
      <c r="X897">
        <v>0</v>
      </c>
      <c r="Y897">
        <v>0</v>
      </c>
      <c r="Z897" t="s">
        <v>710</v>
      </c>
      <c r="AA897" t="s">
        <v>711</v>
      </c>
      <c r="AB897" t="s">
        <v>712</v>
      </c>
      <c r="AD897" t="s">
        <v>713</v>
      </c>
    </row>
    <row r="898" spans="1:36">
      <c r="A898" s="8">
        <v>2020</v>
      </c>
      <c r="B898" s="8">
        <v>245</v>
      </c>
      <c r="D898" s="8" t="s">
        <v>60</v>
      </c>
      <c r="F898" t="s">
        <v>61</v>
      </c>
      <c r="G898" s="8" t="s">
        <v>679</v>
      </c>
      <c r="I898" t="s">
        <v>155</v>
      </c>
      <c r="J898" t="s">
        <v>188</v>
      </c>
      <c r="K898" s="8" t="s">
        <v>41</v>
      </c>
      <c r="L898" t="s">
        <v>155</v>
      </c>
      <c r="O898">
        <v>0</v>
      </c>
      <c r="P898">
        <v>0</v>
      </c>
      <c r="Q898">
        <v>0</v>
      </c>
      <c r="R898">
        <v>1</v>
      </c>
      <c r="S898">
        <v>0</v>
      </c>
      <c r="T898">
        <v>0</v>
      </c>
      <c r="U898">
        <v>1</v>
      </c>
      <c r="V898">
        <v>0</v>
      </c>
      <c r="W898">
        <v>1</v>
      </c>
      <c r="X898">
        <v>0</v>
      </c>
      <c r="Y898">
        <v>0</v>
      </c>
      <c r="Z898" t="s">
        <v>710</v>
      </c>
      <c r="AA898" t="s">
        <v>711</v>
      </c>
      <c r="AB898" t="s">
        <v>712</v>
      </c>
      <c r="AD898" t="s">
        <v>713</v>
      </c>
    </row>
    <row r="899" spans="1:36">
      <c r="A899" s="8">
        <v>2020</v>
      </c>
      <c r="B899" s="8">
        <v>245</v>
      </c>
      <c r="D899" s="8" t="s">
        <v>60</v>
      </c>
      <c r="F899" t="s">
        <v>61</v>
      </c>
      <c r="G899" s="8" t="s">
        <v>680</v>
      </c>
      <c r="I899" t="s">
        <v>155</v>
      </c>
      <c r="J899" t="s">
        <v>188</v>
      </c>
      <c r="K899" s="8" t="s">
        <v>41</v>
      </c>
      <c r="L899" t="s">
        <v>155</v>
      </c>
      <c r="O899">
        <v>0</v>
      </c>
      <c r="P899">
        <v>0</v>
      </c>
      <c r="Q899">
        <v>0</v>
      </c>
      <c r="R899">
        <v>1</v>
      </c>
      <c r="S899">
        <v>0</v>
      </c>
      <c r="T899">
        <v>0</v>
      </c>
      <c r="U899">
        <v>1</v>
      </c>
      <c r="V899">
        <v>0</v>
      </c>
      <c r="W899">
        <v>1</v>
      </c>
      <c r="X899">
        <v>0</v>
      </c>
      <c r="Y899">
        <v>0</v>
      </c>
      <c r="Z899" t="s">
        <v>710</v>
      </c>
      <c r="AA899" t="s">
        <v>711</v>
      </c>
      <c r="AB899" t="s">
        <v>712</v>
      </c>
      <c r="AD899" t="s">
        <v>713</v>
      </c>
    </row>
    <row r="900" spans="1:36">
      <c r="A900" s="8">
        <v>2020</v>
      </c>
      <c r="B900" s="8">
        <v>245</v>
      </c>
      <c r="D900" s="8" t="s">
        <v>60</v>
      </c>
      <c r="F900" t="s">
        <v>61</v>
      </c>
      <c r="G900" s="8" t="s">
        <v>298</v>
      </c>
      <c r="I900" t="s">
        <v>155</v>
      </c>
      <c r="J900" t="s">
        <v>188</v>
      </c>
      <c r="K900" s="8" t="s">
        <v>41</v>
      </c>
      <c r="L900" t="s">
        <v>155</v>
      </c>
      <c r="O900">
        <v>0</v>
      </c>
      <c r="P900">
        <v>0</v>
      </c>
      <c r="Q900">
        <v>0</v>
      </c>
      <c r="R900">
        <v>1</v>
      </c>
      <c r="S900">
        <v>0</v>
      </c>
      <c r="T900">
        <v>0</v>
      </c>
      <c r="U900">
        <v>1</v>
      </c>
      <c r="V900">
        <v>0</v>
      </c>
      <c r="W900">
        <v>1</v>
      </c>
      <c r="X900">
        <v>0</v>
      </c>
      <c r="Y900">
        <v>0</v>
      </c>
      <c r="Z900" t="s">
        <v>710</v>
      </c>
      <c r="AA900" t="s">
        <v>711</v>
      </c>
      <c r="AB900" t="s">
        <v>712</v>
      </c>
      <c r="AD900" t="s">
        <v>713</v>
      </c>
    </row>
    <row r="901" spans="1:36">
      <c r="A901" s="8">
        <v>2020</v>
      </c>
      <c r="B901" s="8">
        <v>246</v>
      </c>
      <c r="D901" s="8" t="s">
        <v>60</v>
      </c>
      <c r="F901" t="s">
        <v>61</v>
      </c>
      <c r="G901" s="8" t="s">
        <v>18</v>
      </c>
      <c r="H901" t="s">
        <v>19</v>
      </c>
      <c r="I901" t="s">
        <v>18</v>
      </c>
      <c r="J901" t="s">
        <v>19</v>
      </c>
      <c r="K901" s="8" t="s">
        <v>65</v>
      </c>
      <c r="L901" t="s">
        <v>18</v>
      </c>
      <c r="O901">
        <v>1</v>
      </c>
      <c r="P901">
        <v>1</v>
      </c>
      <c r="Q901">
        <v>1</v>
      </c>
      <c r="R901">
        <v>1</v>
      </c>
      <c r="S901">
        <v>0</v>
      </c>
      <c r="T901">
        <v>0</v>
      </c>
      <c r="U901">
        <v>1</v>
      </c>
      <c r="V901">
        <v>0</v>
      </c>
      <c r="W901">
        <v>1</v>
      </c>
      <c r="X901">
        <v>1</v>
      </c>
      <c r="Y901">
        <v>0</v>
      </c>
      <c r="Z901" t="s">
        <v>726</v>
      </c>
      <c r="AA901" t="s">
        <v>1175</v>
      </c>
      <c r="AB901" t="s">
        <v>714</v>
      </c>
      <c r="AC901" t="s">
        <v>715</v>
      </c>
      <c r="AD901" t="s">
        <v>716</v>
      </c>
      <c r="AE901" t="s">
        <v>717</v>
      </c>
      <c r="AF901" t="s">
        <v>718</v>
      </c>
      <c r="AG901" t="s">
        <v>719</v>
      </c>
      <c r="AH901" t="s">
        <v>720</v>
      </c>
      <c r="AI901" t="s">
        <v>724</v>
      </c>
      <c r="AJ901" t="s">
        <v>725</v>
      </c>
    </row>
    <row r="902" spans="1:36">
      <c r="A902" s="8">
        <v>2020</v>
      </c>
      <c r="B902" s="8">
        <v>246</v>
      </c>
      <c r="D902" s="8" t="s">
        <v>60</v>
      </c>
      <c r="F902" t="s">
        <v>61</v>
      </c>
      <c r="G902" s="8" t="s">
        <v>37</v>
      </c>
      <c r="I902" t="s">
        <v>18</v>
      </c>
      <c r="J902" t="s">
        <v>19</v>
      </c>
      <c r="K902" s="8" t="s">
        <v>65</v>
      </c>
      <c r="L902" t="s">
        <v>18</v>
      </c>
      <c r="O902">
        <v>0</v>
      </c>
      <c r="P902">
        <v>0</v>
      </c>
      <c r="Q902">
        <v>0</v>
      </c>
      <c r="R902">
        <v>0</v>
      </c>
      <c r="S902">
        <v>0</v>
      </c>
      <c r="T902">
        <v>0</v>
      </c>
      <c r="U902">
        <v>0</v>
      </c>
      <c r="V902">
        <v>1</v>
      </c>
      <c r="W902">
        <v>0</v>
      </c>
      <c r="X902">
        <v>0</v>
      </c>
      <c r="Y902">
        <v>0</v>
      </c>
      <c r="AA902" t="s">
        <v>721</v>
      </c>
      <c r="AB902" t="s">
        <v>722</v>
      </c>
      <c r="AC902" t="s">
        <v>723</v>
      </c>
    </row>
    <row r="903" spans="1:36">
      <c r="A903" s="8">
        <v>2020</v>
      </c>
      <c r="B903" s="8">
        <v>247</v>
      </c>
      <c r="D903" s="8" t="s">
        <v>60</v>
      </c>
      <c r="F903" t="s">
        <v>61</v>
      </c>
      <c r="G903" s="8" t="s">
        <v>18</v>
      </c>
      <c r="H903" t="s">
        <v>19</v>
      </c>
      <c r="I903" t="s">
        <v>18</v>
      </c>
      <c r="J903" t="s">
        <v>19</v>
      </c>
      <c r="K903" s="8" t="s">
        <v>41</v>
      </c>
      <c r="L903" t="s">
        <v>18</v>
      </c>
      <c r="O903">
        <v>1</v>
      </c>
      <c r="P903">
        <v>1</v>
      </c>
      <c r="Q903">
        <v>1</v>
      </c>
      <c r="R903">
        <v>0</v>
      </c>
      <c r="S903">
        <v>0</v>
      </c>
      <c r="T903">
        <v>0</v>
      </c>
      <c r="U903">
        <v>1</v>
      </c>
      <c r="V903">
        <v>0</v>
      </c>
      <c r="W903">
        <v>1</v>
      </c>
      <c r="X903">
        <v>1</v>
      </c>
      <c r="Y903">
        <v>0</v>
      </c>
      <c r="Z903" t="s">
        <v>731</v>
      </c>
      <c r="AA903" t="s">
        <v>727</v>
      </c>
      <c r="AB903" t="s">
        <v>728</v>
      </c>
      <c r="AC903" t="s">
        <v>729</v>
      </c>
      <c r="AD903" t="s">
        <v>730</v>
      </c>
      <c r="AE903" t="s">
        <v>733</v>
      </c>
      <c r="AF903" t="s">
        <v>734</v>
      </c>
      <c r="AH903" t="s">
        <v>732</v>
      </c>
    </row>
    <row r="904" spans="1:36">
      <c r="A904" s="8">
        <v>2020</v>
      </c>
      <c r="B904" s="8">
        <v>247</v>
      </c>
      <c r="D904" s="8" t="s">
        <v>60</v>
      </c>
      <c r="F904" t="s">
        <v>61</v>
      </c>
      <c r="G904" s="8" t="s">
        <v>37</v>
      </c>
      <c r="I904" t="s">
        <v>18</v>
      </c>
      <c r="J904" t="s">
        <v>19</v>
      </c>
      <c r="K904" s="8" t="s">
        <v>41</v>
      </c>
      <c r="L904" t="s">
        <v>18</v>
      </c>
      <c r="O904">
        <v>0</v>
      </c>
      <c r="P904">
        <v>0</v>
      </c>
      <c r="Q904">
        <v>0</v>
      </c>
      <c r="R904">
        <v>0</v>
      </c>
      <c r="S904">
        <v>0</v>
      </c>
      <c r="T904">
        <v>0</v>
      </c>
      <c r="U904">
        <v>1</v>
      </c>
      <c r="V904">
        <v>0</v>
      </c>
      <c r="W904">
        <v>1</v>
      </c>
      <c r="X904">
        <v>1</v>
      </c>
      <c r="Y904">
        <v>0</v>
      </c>
      <c r="Z904" t="s">
        <v>731</v>
      </c>
      <c r="AA904" t="s">
        <v>733</v>
      </c>
      <c r="AB904" t="s">
        <v>734</v>
      </c>
      <c r="AD904" t="s">
        <v>732</v>
      </c>
    </row>
    <row r="905" spans="1:36">
      <c r="A905" s="8">
        <v>2020</v>
      </c>
      <c r="B905" s="8">
        <v>247</v>
      </c>
      <c r="D905" s="8" t="s">
        <v>60</v>
      </c>
      <c r="F905" t="s">
        <v>61</v>
      </c>
      <c r="G905" s="8" t="s">
        <v>26</v>
      </c>
      <c r="I905" t="s">
        <v>18</v>
      </c>
      <c r="J905" t="s">
        <v>19</v>
      </c>
      <c r="K905" s="8" t="s">
        <v>41</v>
      </c>
      <c r="L905" t="s">
        <v>18</v>
      </c>
      <c r="O905">
        <v>0</v>
      </c>
      <c r="P905">
        <v>0</v>
      </c>
      <c r="Q905">
        <v>0</v>
      </c>
      <c r="R905">
        <v>0</v>
      </c>
      <c r="S905">
        <v>0</v>
      </c>
      <c r="T905">
        <v>0</v>
      </c>
      <c r="U905">
        <v>1</v>
      </c>
      <c r="V905">
        <v>0</v>
      </c>
      <c r="W905">
        <v>1</v>
      </c>
      <c r="X905">
        <v>1</v>
      </c>
      <c r="Y905">
        <v>0</v>
      </c>
      <c r="Z905" t="s">
        <v>731</v>
      </c>
      <c r="AA905" t="s">
        <v>733</v>
      </c>
      <c r="AB905" t="s">
        <v>734</v>
      </c>
      <c r="AD905" t="s">
        <v>732</v>
      </c>
    </row>
    <row r="906" spans="1:36">
      <c r="A906" s="8">
        <v>2020</v>
      </c>
      <c r="B906" s="8">
        <v>247</v>
      </c>
      <c r="D906" s="8" t="s">
        <v>60</v>
      </c>
      <c r="F906" t="s">
        <v>61</v>
      </c>
      <c r="G906" s="8" t="s">
        <v>154</v>
      </c>
      <c r="H906" t="s">
        <v>187</v>
      </c>
      <c r="I906" t="s">
        <v>18</v>
      </c>
      <c r="J906" t="s">
        <v>19</v>
      </c>
      <c r="K906" s="8" t="s">
        <v>41</v>
      </c>
      <c r="L906" t="s">
        <v>18</v>
      </c>
      <c r="O906">
        <v>0</v>
      </c>
      <c r="P906">
        <v>0</v>
      </c>
      <c r="Q906">
        <v>0</v>
      </c>
      <c r="R906">
        <v>0</v>
      </c>
      <c r="S906">
        <v>0</v>
      </c>
      <c r="T906">
        <v>0</v>
      </c>
      <c r="U906">
        <v>1</v>
      </c>
      <c r="V906">
        <v>0</v>
      </c>
      <c r="W906">
        <v>1</v>
      </c>
      <c r="X906">
        <v>1</v>
      </c>
      <c r="Y906">
        <v>0</v>
      </c>
      <c r="Z906" t="s">
        <v>731</v>
      </c>
      <c r="AA906" t="s">
        <v>733</v>
      </c>
      <c r="AB906" t="s">
        <v>734</v>
      </c>
      <c r="AD906" t="s">
        <v>732</v>
      </c>
    </row>
    <row r="907" spans="1:36">
      <c r="A907" s="8">
        <v>2020</v>
      </c>
      <c r="B907" s="8">
        <v>247</v>
      </c>
      <c r="D907" s="8" t="s">
        <v>60</v>
      </c>
      <c r="F907" t="s">
        <v>61</v>
      </c>
      <c r="G907" s="8" t="s">
        <v>157</v>
      </c>
      <c r="H907" t="s">
        <v>190</v>
      </c>
      <c r="I907" t="s">
        <v>18</v>
      </c>
      <c r="J907" t="s">
        <v>19</v>
      </c>
      <c r="K907" s="8" t="s">
        <v>41</v>
      </c>
      <c r="L907" t="s">
        <v>18</v>
      </c>
      <c r="O907">
        <v>0</v>
      </c>
      <c r="P907">
        <v>0</v>
      </c>
      <c r="Q907">
        <v>0</v>
      </c>
      <c r="R907">
        <v>0</v>
      </c>
      <c r="S907">
        <v>0</v>
      </c>
      <c r="T907">
        <v>0</v>
      </c>
      <c r="U907">
        <v>1</v>
      </c>
      <c r="V907">
        <v>0</v>
      </c>
      <c r="W907">
        <v>1</v>
      </c>
      <c r="X907">
        <v>1</v>
      </c>
      <c r="Y907">
        <v>0</v>
      </c>
      <c r="Z907" t="s">
        <v>731</v>
      </c>
      <c r="AA907" t="s">
        <v>733</v>
      </c>
      <c r="AB907" t="s">
        <v>734</v>
      </c>
      <c r="AD907" t="s">
        <v>732</v>
      </c>
    </row>
    <row r="908" spans="1:36">
      <c r="A908" s="8">
        <v>2020</v>
      </c>
      <c r="B908" s="8">
        <v>247</v>
      </c>
      <c r="D908" s="8" t="s">
        <v>60</v>
      </c>
      <c r="F908" t="s">
        <v>61</v>
      </c>
      <c r="G908" s="8" t="s">
        <v>161</v>
      </c>
      <c r="I908" t="s">
        <v>18</v>
      </c>
      <c r="J908" t="s">
        <v>19</v>
      </c>
      <c r="K908" s="8" t="s">
        <v>41</v>
      </c>
      <c r="L908" t="s">
        <v>18</v>
      </c>
      <c r="O908">
        <v>0</v>
      </c>
      <c r="P908">
        <v>0</v>
      </c>
      <c r="Q908">
        <v>0</v>
      </c>
      <c r="R908">
        <v>0</v>
      </c>
      <c r="S908">
        <v>0</v>
      </c>
      <c r="T908">
        <v>0</v>
      </c>
      <c r="U908">
        <v>1</v>
      </c>
      <c r="V908">
        <v>0</v>
      </c>
      <c r="W908">
        <v>1</v>
      </c>
      <c r="X908">
        <v>1</v>
      </c>
      <c r="Y908">
        <v>0</v>
      </c>
      <c r="Z908" t="s">
        <v>731</v>
      </c>
      <c r="AA908" t="s">
        <v>733</v>
      </c>
      <c r="AB908" t="s">
        <v>734</v>
      </c>
      <c r="AD908" t="s">
        <v>732</v>
      </c>
    </row>
    <row r="909" spans="1:36">
      <c r="A909" s="8">
        <v>2020</v>
      </c>
      <c r="B909" s="8">
        <v>247</v>
      </c>
      <c r="D909" s="8" t="s">
        <v>60</v>
      </c>
      <c r="F909" t="s">
        <v>61</v>
      </c>
      <c r="G909" s="8" t="s">
        <v>298</v>
      </c>
      <c r="I909" t="s">
        <v>18</v>
      </c>
      <c r="J909" t="s">
        <v>19</v>
      </c>
      <c r="K909" s="8" t="s">
        <v>41</v>
      </c>
      <c r="L909" t="s">
        <v>18</v>
      </c>
      <c r="O909">
        <v>0</v>
      </c>
      <c r="P909">
        <v>0</v>
      </c>
      <c r="Q909">
        <v>0</v>
      </c>
      <c r="R909">
        <v>0</v>
      </c>
      <c r="S909">
        <v>0</v>
      </c>
      <c r="T909">
        <v>0</v>
      </c>
      <c r="U909">
        <v>1</v>
      </c>
      <c r="V909">
        <v>0</v>
      </c>
      <c r="W909">
        <v>1</v>
      </c>
      <c r="X909">
        <v>1</v>
      </c>
      <c r="Y909">
        <v>0</v>
      </c>
      <c r="Z909" t="s">
        <v>731</v>
      </c>
      <c r="AA909" t="s">
        <v>733</v>
      </c>
      <c r="AB909" s="20" t="s">
        <v>734</v>
      </c>
      <c r="AD909" t="s">
        <v>732</v>
      </c>
    </row>
    <row r="910" spans="1:36">
      <c r="A910" s="8">
        <v>2021</v>
      </c>
      <c r="B910" s="8">
        <v>247</v>
      </c>
      <c r="D910" s="8" t="s">
        <v>60</v>
      </c>
      <c r="F910" t="s">
        <v>61</v>
      </c>
      <c r="G910" s="8" t="s">
        <v>202</v>
      </c>
      <c r="H910" t="s">
        <v>205</v>
      </c>
      <c r="I910" t="s">
        <v>18</v>
      </c>
      <c r="J910" t="s">
        <v>19</v>
      </c>
      <c r="K910" s="8" t="s">
        <v>41</v>
      </c>
      <c r="L910" t="s">
        <v>18</v>
      </c>
      <c r="O910">
        <v>0</v>
      </c>
      <c r="P910">
        <v>0</v>
      </c>
      <c r="Q910">
        <v>0</v>
      </c>
      <c r="R910">
        <v>0</v>
      </c>
      <c r="S910">
        <v>0</v>
      </c>
      <c r="T910">
        <v>0</v>
      </c>
      <c r="U910">
        <v>1</v>
      </c>
      <c r="V910">
        <v>0</v>
      </c>
      <c r="W910">
        <v>1</v>
      </c>
      <c r="X910">
        <v>1</v>
      </c>
      <c r="Y910">
        <v>0</v>
      </c>
      <c r="Z910" t="s">
        <v>731</v>
      </c>
      <c r="AA910" t="s">
        <v>769</v>
      </c>
      <c r="AB910" s="20" t="s">
        <v>770</v>
      </c>
    </row>
    <row r="911" spans="1:36">
      <c r="A911" s="8">
        <v>2021</v>
      </c>
      <c r="B911" s="8">
        <v>247</v>
      </c>
      <c r="D911" s="8" t="s">
        <v>60</v>
      </c>
      <c r="F911" t="s">
        <v>61</v>
      </c>
      <c r="G911" s="8" t="s">
        <v>193</v>
      </c>
      <c r="H911" t="s">
        <v>185</v>
      </c>
      <c r="I911" t="s">
        <v>18</v>
      </c>
      <c r="J911" t="s">
        <v>19</v>
      </c>
      <c r="K911" s="8" t="s">
        <v>41</v>
      </c>
      <c r="L911" t="s">
        <v>18</v>
      </c>
      <c r="O911">
        <v>0</v>
      </c>
      <c r="P911">
        <v>0</v>
      </c>
      <c r="Q911">
        <v>0</v>
      </c>
      <c r="R911">
        <v>0</v>
      </c>
      <c r="S911">
        <v>0</v>
      </c>
      <c r="T911">
        <v>0</v>
      </c>
      <c r="U911">
        <v>1</v>
      </c>
      <c r="V911">
        <v>0</v>
      </c>
      <c r="W911">
        <v>1</v>
      </c>
      <c r="X911">
        <v>1</v>
      </c>
      <c r="Y911">
        <v>0</v>
      </c>
      <c r="Z911" t="s">
        <v>731</v>
      </c>
      <c r="AA911" t="s">
        <v>769</v>
      </c>
      <c r="AB911" s="20" t="s">
        <v>770</v>
      </c>
    </row>
    <row r="912" spans="1:36">
      <c r="A912" s="8">
        <v>2021</v>
      </c>
      <c r="B912" s="8">
        <v>247</v>
      </c>
      <c r="D912" s="8" t="s">
        <v>60</v>
      </c>
      <c r="F912" t="s">
        <v>61</v>
      </c>
      <c r="G912" s="8" t="s">
        <v>203</v>
      </c>
      <c r="H912" t="s">
        <v>206</v>
      </c>
      <c r="I912" t="s">
        <v>18</v>
      </c>
      <c r="J912" t="s">
        <v>19</v>
      </c>
      <c r="K912" s="8" t="s">
        <v>41</v>
      </c>
      <c r="L912" t="s">
        <v>18</v>
      </c>
      <c r="O912">
        <v>0</v>
      </c>
      <c r="P912">
        <v>0</v>
      </c>
      <c r="Q912">
        <v>0</v>
      </c>
      <c r="R912">
        <v>0</v>
      </c>
      <c r="S912">
        <v>0</v>
      </c>
      <c r="T912">
        <v>0</v>
      </c>
      <c r="U912">
        <v>1</v>
      </c>
      <c r="V912">
        <v>0</v>
      </c>
      <c r="W912">
        <v>1</v>
      </c>
      <c r="X912">
        <v>1</v>
      </c>
      <c r="Y912">
        <v>0</v>
      </c>
      <c r="Z912" t="s">
        <v>731</v>
      </c>
      <c r="AA912" t="s">
        <v>769</v>
      </c>
      <c r="AB912" s="20" t="s">
        <v>770</v>
      </c>
    </row>
    <row r="913" spans="1:30">
      <c r="A913" s="8">
        <v>2020</v>
      </c>
      <c r="B913" s="8">
        <v>248</v>
      </c>
      <c r="D913" s="8" t="s">
        <v>60</v>
      </c>
      <c r="F913" t="s">
        <v>61</v>
      </c>
      <c r="G913" s="8" t="s">
        <v>37</v>
      </c>
      <c r="I913" t="s">
        <v>153</v>
      </c>
      <c r="J913" t="s">
        <v>186</v>
      </c>
      <c r="K913" s="8" t="s">
        <v>41</v>
      </c>
      <c r="L913" t="s">
        <v>37</v>
      </c>
      <c r="O913">
        <v>1</v>
      </c>
      <c r="P913">
        <v>1</v>
      </c>
      <c r="Q913">
        <v>1</v>
      </c>
      <c r="R913">
        <v>1</v>
      </c>
      <c r="S913">
        <v>0</v>
      </c>
      <c r="T913">
        <v>1</v>
      </c>
      <c r="U913">
        <v>0</v>
      </c>
      <c r="V913">
        <v>0</v>
      </c>
      <c r="W913">
        <v>0</v>
      </c>
      <c r="X913">
        <v>0</v>
      </c>
      <c r="Y913">
        <v>0</v>
      </c>
      <c r="AA913" t="s">
        <v>735</v>
      </c>
      <c r="AB913" t="s">
        <v>736</v>
      </c>
      <c r="AC913" t="s">
        <v>743</v>
      </c>
      <c r="AD913" t="s">
        <v>744</v>
      </c>
    </row>
    <row r="914" spans="1:30">
      <c r="A914" s="8">
        <v>2020</v>
      </c>
      <c r="B914" s="8">
        <v>248</v>
      </c>
      <c r="D914" s="8" t="s">
        <v>18</v>
      </c>
      <c r="F914" t="s">
        <v>19</v>
      </c>
      <c r="G914" s="8" t="s">
        <v>37</v>
      </c>
      <c r="I914" t="s">
        <v>153</v>
      </c>
      <c r="J914" t="s">
        <v>186</v>
      </c>
      <c r="K914" s="8" t="s">
        <v>41</v>
      </c>
      <c r="L914" t="s">
        <v>37</v>
      </c>
      <c r="O914">
        <v>1</v>
      </c>
      <c r="P914">
        <v>1</v>
      </c>
      <c r="Q914">
        <v>1</v>
      </c>
      <c r="R914">
        <v>1</v>
      </c>
      <c r="S914">
        <v>0</v>
      </c>
      <c r="T914">
        <v>1</v>
      </c>
      <c r="U914">
        <v>0</v>
      </c>
      <c r="V914">
        <v>0</v>
      </c>
      <c r="W914">
        <v>0</v>
      </c>
      <c r="X914">
        <v>0</v>
      </c>
      <c r="Y914">
        <v>0</v>
      </c>
      <c r="AA914" t="s">
        <v>735</v>
      </c>
      <c r="AB914" t="s">
        <v>736</v>
      </c>
      <c r="AC914" t="s">
        <v>743</v>
      </c>
      <c r="AD914" t="s">
        <v>744</v>
      </c>
    </row>
    <row r="915" spans="1:30">
      <c r="A915" s="8">
        <v>2020</v>
      </c>
      <c r="B915" s="8">
        <v>248</v>
      </c>
      <c r="D915" s="8" t="s">
        <v>60</v>
      </c>
      <c r="F915" t="s">
        <v>61</v>
      </c>
      <c r="G915" s="8" t="s">
        <v>35</v>
      </c>
      <c r="I915" t="s">
        <v>153</v>
      </c>
      <c r="J915" t="s">
        <v>186</v>
      </c>
      <c r="K915" s="8" t="s">
        <v>41</v>
      </c>
      <c r="L915" t="s">
        <v>37</v>
      </c>
      <c r="O915">
        <v>1</v>
      </c>
      <c r="P915">
        <v>1</v>
      </c>
      <c r="Q915">
        <v>0</v>
      </c>
      <c r="R915">
        <v>1</v>
      </c>
      <c r="S915">
        <v>0</v>
      </c>
      <c r="T915">
        <v>1</v>
      </c>
      <c r="U915">
        <v>0</v>
      </c>
      <c r="V915">
        <v>0</v>
      </c>
      <c r="W915">
        <v>0</v>
      </c>
      <c r="X915">
        <v>0</v>
      </c>
      <c r="Y915">
        <v>0</v>
      </c>
      <c r="AA915" t="s">
        <v>735</v>
      </c>
      <c r="AB915" t="s">
        <v>736</v>
      </c>
      <c r="AC915" t="s">
        <v>743</v>
      </c>
      <c r="AD915" t="s">
        <v>744</v>
      </c>
    </row>
    <row r="916" spans="1:30">
      <c r="A916" s="8">
        <v>2020</v>
      </c>
      <c r="B916" s="8">
        <v>248</v>
      </c>
      <c r="D916" s="8" t="s">
        <v>18</v>
      </c>
      <c r="F916" t="s">
        <v>19</v>
      </c>
      <c r="G916" s="8" t="s">
        <v>35</v>
      </c>
      <c r="I916" t="s">
        <v>153</v>
      </c>
      <c r="J916" t="s">
        <v>186</v>
      </c>
      <c r="K916" s="8" t="s">
        <v>41</v>
      </c>
      <c r="L916" t="s">
        <v>37</v>
      </c>
      <c r="O916">
        <v>1</v>
      </c>
      <c r="P916">
        <v>1</v>
      </c>
      <c r="Q916">
        <v>0</v>
      </c>
      <c r="R916">
        <v>1</v>
      </c>
      <c r="S916">
        <v>0</v>
      </c>
      <c r="T916">
        <v>1</v>
      </c>
      <c r="U916">
        <v>0</v>
      </c>
      <c r="V916">
        <v>0</v>
      </c>
      <c r="W916">
        <v>0</v>
      </c>
      <c r="X916">
        <v>0</v>
      </c>
      <c r="Y916">
        <v>0</v>
      </c>
      <c r="AA916" t="s">
        <v>735</v>
      </c>
      <c r="AB916" t="s">
        <v>736</v>
      </c>
      <c r="AC916" t="s">
        <v>743</v>
      </c>
      <c r="AD916" t="s">
        <v>744</v>
      </c>
    </row>
    <row r="917" spans="1:30">
      <c r="A917" s="8">
        <v>2020</v>
      </c>
      <c r="B917" s="8">
        <v>248</v>
      </c>
      <c r="D917" s="8" t="s">
        <v>60</v>
      </c>
      <c r="F917" t="s">
        <v>61</v>
      </c>
      <c r="G917" s="8" t="s">
        <v>161</v>
      </c>
      <c r="I917" t="s">
        <v>153</v>
      </c>
      <c r="J917" t="s">
        <v>186</v>
      </c>
      <c r="K917" s="8" t="s">
        <v>41</v>
      </c>
      <c r="L917" t="s">
        <v>37</v>
      </c>
      <c r="O917">
        <v>1</v>
      </c>
      <c r="P917">
        <v>1</v>
      </c>
      <c r="Q917">
        <v>0</v>
      </c>
      <c r="R917">
        <v>1</v>
      </c>
      <c r="S917">
        <v>0</v>
      </c>
      <c r="T917">
        <v>1</v>
      </c>
      <c r="U917">
        <v>0</v>
      </c>
      <c r="V917">
        <v>0</v>
      </c>
      <c r="W917">
        <v>0</v>
      </c>
      <c r="X917">
        <v>0</v>
      </c>
      <c r="Y917">
        <v>0</v>
      </c>
      <c r="Z917" s="19"/>
      <c r="AA917" t="s">
        <v>735</v>
      </c>
      <c r="AB917" t="s">
        <v>736</v>
      </c>
      <c r="AC917" t="s">
        <v>743</v>
      </c>
      <c r="AD917" t="s">
        <v>744</v>
      </c>
    </row>
    <row r="918" spans="1:30">
      <c r="A918" s="8">
        <v>2020</v>
      </c>
      <c r="B918" s="8">
        <v>248</v>
      </c>
      <c r="D918" s="8" t="s">
        <v>18</v>
      </c>
      <c r="F918" t="s">
        <v>19</v>
      </c>
      <c r="G918" s="8" t="s">
        <v>161</v>
      </c>
      <c r="I918" t="s">
        <v>153</v>
      </c>
      <c r="J918" t="s">
        <v>186</v>
      </c>
      <c r="K918" s="8" t="s">
        <v>41</v>
      </c>
      <c r="L918" t="s">
        <v>37</v>
      </c>
      <c r="O918">
        <v>1</v>
      </c>
      <c r="P918">
        <v>1</v>
      </c>
      <c r="Q918">
        <v>0</v>
      </c>
      <c r="R918">
        <v>1</v>
      </c>
      <c r="S918">
        <v>0</v>
      </c>
      <c r="T918">
        <v>1</v>
      </c>
      <c r="U918">
        <v>0</v>
      </c>
      <c r="V918">
        <v>0</v>
      </c>
      <c r="W918">
        <v>0</v>
      </c>
      <c r="X918">
        <v>0</v>
      </c>
      <c r="Y918">
        <v>0</v>
      </c>
      <c r="Z918" s="19"/>
      <c r="AA918" t="s">
        <v>735</v>
      </c>
      <c r="AB918" t="s">
        <v>736</v>
      </c>
      <c r="AC918" t="s">
        <v>743</v>
      </c>
      <c r="AD918" t="s">
        <v>744</v>
      </c>
    </row>
    <row r="919" spans="1:30">
      <c r="A919" s="8">
        <v>2020</v>
      </c>
      <c r="B919" s="8">
        <v>249</v>
      </c>
      <c r="D919" s="8" t="s">
        <v>60</v>
      </c>
      <c r="F919" t="s">
        <v>61</v>
      </c>
      <c r="G919" s="8" t="s">
        <v>37</v>
      </c>
      <c r="I919" t="s">
        <v>60</v>
      </c>
      <c r="J919" t="s">
        <v>61</v>
      </c>
      <c r="K919" s="8" t="s">
        <v>41</v>
      </c>
      <c r="L919" t="s">
        <v>37</v>
      </c>
      <c r="O919">
        <v>1</v>
      </c>
      <c r="P919">
        <v>1</v>
      </c>
      <c r="Q919">
        <v>0</v>
      </c>
      <c r="R919">
        <v>0</v>
      </c>
      <c r="S919">
        <v>0</v>
      </c>
      <c r="T919">
        <v>0</v>
      </c>
      <c r="U919">
        <v>0</v>
      </c>
      <c r="V919">
        <v>0</v>
      </c>
      <c r="W919">
        <v>0</v>
      </c>
      <c r="X919">
        <v>0</v>
      </c>
      <c r="Y919">
        <v>0</v>
      </c>
      <c r="AA919" t="s">
        <v>737</v>
      </c>
      <c r="AB919" t="s">
        <v>738</v>
      </c>
    </row>
    <row r="920" spans="1:30">
      <c r="A920" s="8">
        <v>2020</v>
      </c>
      <c r="B920" s="8">
        <v>249</v>
      </c>
      <c r="D920" s="8" t="s">
        <v>60</v>
      </c>
      <c r="F920" t="s">
        <v>61</v>
      </c>
      <c r="G920" s="8" t="s">
        <v>739</v>
      </c>
      <c r="I920" t="s">
        <v>60</v>
      </c>
      <c r="J920" t="s">
        <v>61</v>
      </c>
      <c r="K920" s="8" t="s">
        <v>41</v>
      </c>
      <c r="L920" t="s">
        <v>37</v>
      </c>
      <c r="O920">
        <v>1</v>
      </c>
      <c r="P920">
        <v>1</v>
      </c>
      <c r="Q920">
        <v>0</v>
      </c>
      <c r="R920">
        <v>0</v>
      </c>
      <c r="S920">
        <v>0</v>
      </c>
      <c r="T920">
        <v>0</v>
      </c>
      <c r="U920">
        <v>0</v>
      </c>
      <c r="V920">
        <v>0</v>
      </c>
      <c r="W920">
        <v>0</v>
      </c>
      <c r="X920">
        <v>0</v>
      </c>
      <c r="Y920">
        <v>0</v>
      </c>
      <c r="AA920" t="s">
        <v>737</v>
      </c>
      <c r="AB920" t="s">
        <v>738</v>
      </c>
    </row>
    <row r="921" spans="1:30">
      <c r="A921" s="8">
        <v>2020</v>
      </c>
      <c r="B921" s="8">
        <v>249</v>
      </c>
      <c r="D921" s="8" t="s">
        <v>60</v>
      </c>
      <c r="F921" t="s">
        <v>61</v>
      </c>
      <c r="G921" s="8" t="s">
        <v>740</v>
      </c>
      <c r="I921" t="s">
        <v>60</v>
      </c>
      <c r="J921" t="s">
        <v>61</v>
      </c>
      <c r="K921" s="8" t="s">
        <v>41</v>
      </c>
      <c r="L921" t="s">
        <v>37</v>
      </c>
      <c r="O921">
        <v>1</v>
      </c>
      <c r="P921">
        <v>1</v>
      </c>
      <c r="Q921">
        <v>0</v>
      </c>
      <c r="R921">
        <v>0</v>
      </c>
      <c r="S921">
        <v>0</v>
      </c>
      <c r="T921">
        <v>0</v>
      </c>
      <c r="U921">
        <v>0</v>
      </c>
      <c r="V921">
        <v>0</v>
      </c>
      <c r="W921">
        <v>0</v>
      </c>
      <c r="X921">
        <v>0</v>
      </c>
      <c r="Y921">
        <v>0</v>
      </c>
      <c r="AA921" t="s">
        <v>737</v>
      </c>
      <c r="AB921" t="s">
        <v>738</v>
      </c>
    </row>
    <row r="922" spans="1:30">
      <c r="A922" s="8">
        <v>2020</v>
      </c>
      <c r="B922" s="8">
        <v>250</v>
      </c>
      <c r="D922" s="8" t="s">
        <v>60</v>
      </c>
      <c r="F922" t="s">
        <v>61</v>
      </c>
      <c r="G922" s="8" t="s">
        <v>18</v>
      </c>
      <c r="H922" t="s">
        <v>19</v>
      </c>
      <c r="I922" t="s">
        <v>18</v>
      </c>
      <c r="J922" t="s">
        <v>19</v>
      </c>
      <c r="K922" s="8" t="s">
        <v>65</v>
      </c>
      <c r="L922" t="s">
        <v>18</v>
      </c>
      <c r="O922">
        <v>1</v>
      </c>
      <c r="P922">
        <v>0</v>
      </c>
      <c r="Q922">
        <v>1</v>
      </c>
      <c r="R922">
        <v>0</v>
      </c>
      <c r="S922">
        <v>0</v>
      </c>
      <c r="T922">
        <v>0</v>
      </c>
      <c r="U922">
        <v>0</v>
      </c>
      <c r="V922">
        <v>0</v>
      </c>
      <c r="W922">
        <v>0</v>
      </c>
      <c r="X922">
        <v>0</v>
      </c>
      <c r="Y922">
        <v>0</v>
      </c>
      <c r="AA922" t="s">
        <v>741</v>
      </c>
      <c r="AB922" t="s">
        <v>742</v>
      </c>
    </row>
    <row r="923" spans="1:30">
      <c r="A923" s="8">
        <v>2020</v>
      </c>
      <c r="B923" s="8">
        <v>251</v>
      </c>
      <c r="D923" s="8" t="s">
        <v>18</v>
      </c>
      <c r="F923" t="s">
        <v>19</v>
      </c>
      <c r="G923" s="8" t="s">
        <v>202</v>
      </c>
      <c r="H923" t="s">
        <v>205</v>
      </c>
      <c r="K923" s="8" t="s">
        <v>41</v>
      </c>
      <c r="L923" t="s">
        <v>871</v>
      </c>
      <c r="O923">
        <v>0</v>
      </c>
      <c r="P923">
        <v>0</v>
      </c>
      <c r="Q923">
        <v>0</v>
      </c>
      <c r="R923">
        <v>0</v>
      </c>
      <c r="S923">
        <v>1</v>
      </c>
      <c r="T923">
        <v>0</v>
      </c>
      <c r="U923">
        <v>0</v>
      </c>
      <c r="V923">
        <v>0</v>
      </c>
      <c r="W923">
        <v>0</v>
      </c>
      <c r="X923">
        <v>0</v>
      </c>
      <c r="Y923">
        <v>0</v>
      </c>
      <c r="AA923" t="s">
        <v>874</v>
      </c>
      <c r="AB923" t="s">
        <v>875</v>
      </c>
    </row>
    <row r="924" spans="1:30">
      <c r="A924" s="8">
        <v>2020</v>
      </c>
      <c r="B924" s="8">
        <v>251</v>
      </c>
      <c r="D924" s="8" t="s">
        <v>18</v>
      </c>
      <c r="F924" t="s">
        <v>19</v>
      </c>
      <c r="G924" s="8" t="s">
        <v>193</v>
      </c>
      <c r="H924" t="s">
        <v>185</v>
      </c>
      <c r="K924" s="8" t="s">
        <v>41</v>
      </c>
      <c r="L924" t="s">
        <v>871</v>
      </c>
      <c r="O924">
        <v>0</v>
      </c>
      <c r="P924">
        <v>0</v>
      </c>
      <c r="Q924">
        <v>0</v>
      </c>
      <c r="R924">
        <v>0</v>
      </c>
      <c r="S924">
        <v>1</v>
      </c>
      <c r="T924">
        <v>0</v>
      </c>
      <c r="U924">
        <v>0</v>
      </c>
      <c r="V924">
        <v>0</v>
      </c>
      <c r="W924">
        <v>0</v>
      </c>
      <c r="X924">
        <v>0</v>
      </c>
      <c r="Y924">
        <v>0</v>
      </c>
      <c r="AA924" t="s">
        <v>874</v>
      </c>
      <c r="AB924" t="s">
        <v>875</v>
      </c>
    </row>
    <row r="925" spans="1:30">
      <c r="A925" s="8">
        <v>2020</v>
      </c>
      <c r="B925" s="8">
        <v>251</v>
      </c>
      <c r="D925" s="8" t="s">
        <v>18</v>
      </c>
      <c r="F925" t="s">
        <v>19</v>
      </c>
      <c r="G925" s="8" t="s">
        <v>203</v>
      </c>
      <c r="H925" t="s">
        <v>206</v>
      </c>
      <c r="K925" s="8" t="s">
        <v>41</v>
      </c>
      <c r="L925" t="s">
        <v>871</v>
      </c>
      <c r="O925">
        <v>0</v>
      </c>
      <c r="P925">
        <v>0</v>
      </c>
      <c r="Q925">
        <v>0</v>
      </c>
      <c r="R925">
        <v>0</v>
      </c>
      <c r="S925">
        <v>1</v>
      </c>
      <c r="T925">
        <v>0</v>
      </c>
      <c r="U925">
        <v>0</v>
      </c>
      <c r="V925">
        <v>0</v>
      </c>
      <c r="W925">
        <v>0</v>
      </c>
      <c r="X925">
        <v>0</v>
      </c>
      <c r="Y925">
        <v>0</v>
      </c>
      <c r="AA925" t="s">
        <v>874</v>
      </c>
      <c r="AB925" t="s">
        <v>875</v>
      </c>
    </row>
    <row r="926" spans="1:30">
      <c r="A926" s="8">
        <v>2020</v>
      </c>
      <c r="B926" s="8">
        <v>252</v>
      </c>
      <c r="D926" s="8" t="s">
        <v>18</v>
      </c>
      <c r="F926" t="s">
        <v>19</v>
      </c>
      <c r="G926" t="s">
        <v>965</v>
      </c>
      <c r="I926" t="s">
        <v>204</v>
      </c>
      <c r="J926" t="s">
        <v>207</v>
      </c>
      <c r="K926" s="8" t="s">
        <v>41</v>
      </c>
      <c r="L926" t="s">
        <v>965</v>
      </c>
      <c r="O926">
        <v>1</v>
      </c>
      <c r="P926">
        <v>1</v>
      </c>
      <c r="Q926">
        <v>1</v>
      </c>
      <c r="R926">
        <v>1</v>
      </c>
      <c r="S926">
        <v>0</v>
      </c>
      <c r="T926">
        <v>0</v>
      </c>
      <c r="U926">
        <v>1</v>
      </c>
      <c r="V926">
        <v>0</v>
      </c>
      <c r="W926">
        <v>1</v>
      </c>
      <c r="X926">
        <v>1</v>
      </c>
      <c r="Y926">
        <v>0</v>
      </c>
      <c r="Z926" t="s">
        <v>876</v>
      </c>
      <c r="AA926" t="s">
        <v>878</v>
      </c>
      <c r="AB926" t="s">
        <v>877</v>
      </c>
      <c r="AD926" t="s">
        <v>948</v>
      </c>
    </row>
    <row r="927" spans="1:30">
      <c r="A927" s="8">
        <v>2020</v>
      </c>
      <c r="B927" s="8">
        <v>252</v>
      </c>
      <c r="D927" s="8" t="s">
        <v>18</v>
      </c>
      <c r="F927" t="s">
        <v>19</v>
      </c>
      <c r="G927" s="8" t="s">
        <v>35</v>
      </c>
      <c r="I927" t="s">
        <v>204</v>
      </c>
      <c r="J927" t="s">
        <v>207</v>
      </c>
      <c r="K927" s="8" t="s">
        <v>41</v>
      </c>
      <c r="L927" t="s">
        <v>965</v>
      </c>
      <c r="O927">
        <v>0</v>
      </c>
      <c r="P927">
        <v>0</v>
      </c>
      <c r="Q927">
        <v>0</v>
      </c>
      <c r="R927">
        <v>0</v>
      </c>
      <c r="S927">
        <v>0</v>
      </c>
      <c r="T927">
        <v>0</v>
      </c>
      <c r="U927">
        <v>1</v>
      </c>
      <c r="V927">
        <v>0</v>
      </c>
      <c r="W927">
        <v>1</v>
      </c>
      <c r="X927">
        <v>1</v>
      </c>
      <c r="Y927">
        <v>0</v>
      </c>
      <c r="Z927" t="s">
        <v>876</v>
      </c>
      <c r="AA927" t="s">
        <v>878</v>
      </c>
      <c r="AB927" t="s">
        <v>877</v>
      </c>
      <c r="AD927" t="s">
        <v>948</v>
      </c>
    </row>
    <row r="928" spans="1:30">
      <c r="A928" s="8">
        <v>2020</v>
      </c>
      <c r="B928" s="8">
        <v>252</v>
      </c>
      <c r="D928" s="8" t="s">
        <v>18</v>
      </c>
      <c r="F928" t="s">
        <v>19</v>
      </c>
      <c r="G928" s="8" t="s">
        <v>26</v>
      </c>
      <c r="K928" s="8" t="s">
        <v>41</v>
      </c>
      <c r="L928" t="s">
        <v>965</v>
      </c>
      <c r="O928">
        <v>0</v>
      </c>
      <c r="P928">
        <v>0</v>
      </c>
      <c r="Q928">
        <v>0</v>
      </c>
      <c r="R928">
        <v>0</v>
      </c>
      <c r="S928">
        <v>0</v>
      </c>
      <c r="T928">
        <v>0</v>
      </c>
      <c r="U928">
        <v>0</v>
      </c>
      <c r="V928">
        <v>1</v>
      </c>
      <c r="W928">
        <v>0</v>
      </c>
      <c r="X928">
        <v>0</v>
      </c>
      <c r="Y928">
        <v>0</v>
      </c>
      <c r="Z928" t="s">
        <v>876</v>
      </c>
      <c r="AA928" t="s">
        <v>894</v>
      </c>
      <c r="AB928" t="s">
        <v>893</v>
      </c>
      <c r="AD928" t="s">
        <v>948</v>
      </c>
    </row>
    <row r="929" spans="1:34">
      <c r="A929" s="8">
        <v>2020</v>
      </c>
      <c r="B929" s="8">
        <v>253</v>
      </c>
      <c r="D929" s="8" t="s">
        <v>18</v>
      </c>
      <c r="F929" t="s">
        <v>19</v>
      </c>
      <c r="G929" s="8" t="s">
        <v>35</v>
      </c>
      <c r="K929" s="8" t="s">
        <v>25</v>
      </c>
      <c r="L929" t="s">
        <v>196</v>
      </c>
      <c r="O929">
        <v>1</v>
      </c>
      <c r="P929">
        <v>1</v>
      </c>
      <c r="Q929">
        <v>1</v>
      </c>
      <c r="R929">
        <v>1</v>
      </c>
      <c r="S929">
        <v>0</v>
      </c>
      <c r="T929">
        <v>0</v>
      </c>
      <c r="U929">
        <v>0</v>
      </c>
      <c r="V929">
        <v>1</v>
      </c>
      <c r="W929">
        <v>0</v>
      </c>
      <c r="X929">
        <v>0</v>
      </c>
      <c r="Y929">
        <v>0</v>
      </c>
      <c r="AA929" t="s">
        <v>880</v>
      </c>
      <c r="AB929" t="s">
        <v>881</v>
      </c>
      <c r="AC929" t="s">
        <v>879</v>
      </c>
      <c r="AE929" t="s">
        <v>922</v>
      </c>
      <c r="AF929" t="s">
        <v>923</v>
      </c>
    </row>
    <row r="930" spans="1:34">
      <c r="A930" s="8">
        <v>2020</v>
      </c>
      <c r="B930" s="8">
        <v>253</v>
      </c>
      <c r="D930" s="8" t="s">
        <v>18</v>
      </c>
      <c r="F930" t="s">
        <v>19</v>
      </c>
      <c r="G930" s="8" t="s">
        <v>196</v>
      </c>
      <c r="H930" t="s">
        <v>197</v>
      </c>
      <c r="I930" t="s">
        <v>18</v>
      </c>
      <c r="J930" t="s">
        <v>19</v>
      </c>
      <c r="K930" s="8" t="s">
        <v>25</v>
      </c>
      <c r="L930" t="s">
        <v>196</v>
      </c>
      <c r="O930">
        <v>1</v>
      </c>
      <c r="P930">
        <v>1</v>
      </c>
      <c r="Q930">
        <v>0</v>
      </c>
      <c r="R930">
        <v>1</v>
      </c>
      <c r="S930">
        <v>0</v>
      </c>
      <c r="T930">
        <v>0</v>
      </c>
      <c r="U930">
        <v>0</v>
      </c>
      <c r="V930">
        <v>1</v>
      </c>
      <c r="W930">
        <v>0</v>
      </c>
      <c r="X930">
        <v>0</v>
      </c>
      <c r="Y930">
        <v>0</v>
      </c>
      <c r="AA930" t="s">
        <v>880</v>
      </c>
      <c r="AB930" t="s">
        <v>881</v>
      </c>
      <c r="AC930" t="s">
        <v>879</v>
      </c>
      <c r="AE930" t="s">
        <v>922</v>
      </c>
      <c r="AF930" t="s">
        <v>923</v>
      </c>
    </row>
    <row r="931" spans="1:34">
      <c r="A931" s="8">
        <v>2020</v>
      </c>
      <c r="B931" s="8">
        <v>253</v>
      </c>
      <c r="D931" s="8" t="s">
        <v>18</v>
      </c>
      <c r="F931" t="s">
        <v>19</v>
      </c>
      <c r="G931" s="8" t="s">
        <v>152</v>
      </c>
      <c r="H931" t="s">
        <v>184</v>
      </c>
      <c r="I931" t="s">
        <v>18</v>
      </c>
      <c r="J931" t="s">
        <v>19</v>
      </c>
      <c r="K931" s="8" t="s">
        <v>25</v>
      </c>
      <c r="L931" t="s">
        <v>196</v>
      </c>
      <c r="O931">
        <v>1</v>
      </c>
      <c r="P931">
        <v>1</v>
      </c>
      <c r="Q931">
        <v>0</v>
      </c>
      <c r="R931">
        <v>1</v>
      </c>
      <c r="S931">
        <v>0</v>
      </c>
      <c r="T931">
        <v>0</v>
      </c>
      <c r="U931">
        <v>0</v>
      </c>
      <c r="V931">
        <v>1</v>
      </c>
      <c r="W931">
        <v>0</v>
      </c>
      <c r="X931">
        <v>0</v>
      </c>
      <c r="Y931">
        <v>0</v>
      </c>
      <c r="AA931" t="s">
        <v>880</v>
      </c>
      <c r="AB931" t="s">
        <v>881</v>
      </c>
      <c r="AC931" t="s">
        <v>879</v>
      </c>
      <c r="AE931" t="s">
        <v>922</v>
      </c>
      <c r="AF931" t="s">
        <v>923</v>
      </c>
    </row>
    <row r="932" spans="1:34">
      <c r="A932" s="8">
        <v>2020</v>
      </c>
      <c r="B932" s="8">
        <v>253</v>
      </c>
      <c r="D932" s="8" t="s">
        <v>18</v>
      </c>
      <c r="F932" t="s">
        <v>19</v>
      </c>
      <c r="G932" s="8" t="s">
        <v>192</v>
      </c>
      <c r="H932" t="s">
        <v>195</v>
      </c>
      <c r="I932" t="s">
        <v>18</v>
      </c>
      <c r="J932" t="s">
        <v>19</v>
      </c>
      <c r="K932" s="8" t="s">
        <v>25</v>
      </c>
      <c r="L932" t="s">
        <v>196</v>
      </c>
      <c r="O932">
        <v>1</v>
      </c>
      <c r="P932">
        <v>1</v>
      </c>
      <c r="Q932">
        <v>0</v>
      </c>
      <c r="R932">
        <v>1</v>
      </c>
      <c r="S932">
        <v>0</v>
      </c>
      <c r="T932">
        <v>0</v>
      </c>
      <c r="U932">
        <v>0</v>
      </c>
      <c r="V932">
        <v>1</v>
      </c>
      <c r="W932">
        <v>0</v>
      </c>
      <c r="X932">
        <v>0</v>
      </c>
      <c r="Y932">
        <v>0</v>
      </c>
      <c r="AA932" t="s">
        <v>880</v>
      </c>
      <c r="AB932" t="s">
        <v>881</v>
      </c>
      <c r="AC932" t="s">
        <v>879</v>
      </c>
      <c r="AE932" t="s">
        <v>922</v>
      </c>
      <c r="AF932" t="s">
        <v>923</v>
      </c>
    </row>
    <row r="933" spans="1:34">
      <c r="A933" s="8">
        <v>2020</v>
      </c>
      <c r="B933" s="8">
        <v>253</v>
      </c>
      <c r="D933" s="8" t="s">
        <v>18</v>
      </c>
      <c r="F933" t="s">
        <v>19</v>
      </c>
      <c r="G933" s="8" t="s">
        <v>161</v>
      </c>
      <c r="K933" s="8" t="s">
        <v>25</v>
      </c>
      <c r="L933" t="s">
        <v>196</v>
      </c>
      <c r="O933">
        <v>0</v>
      </c>
      <c r="P933">
        <v>0</v>
      </c>
      <c r="Q933">
        <v>0</v>
      </c>
      <c r="R933">
        <v>0</v>
      </c>
      <c r="S933">
        <v>1</v>
      </c>
      <c r="T933">
        <v>0</v>
      </c>
      <c r="U933">
        <v>0</v>
      </c>
      <c r="V933">
        <v>0</v>
      </c>
      <c r="W933">
        <v>0</v>
      </c>
      <c r="X933">
        <v>0</v>
      </c>
      <c r="Y933">
        <v>0</v>
      </c>
      <c r="AA933" t="s">
        <v>884</v>
      </c>
      <c r="AB933" t="s">
        <v>885</v>
      </c>
      <c r="AC933" t="s">
        <v>922</v>
      </c>
      <c r="AD933" t="s">
        <v>923</v>
      </c>
      <c r="AF933" t="s">
        <v>924</v>
      </c>
      <c r="AH933" t="s">
        <v>925</v>
      </c>
    </row>
    <row r="934" spans="1:34">
      <c r="A934" s="8">
        <v>2020</v>
      </c>
      <c r="B934" s="8">
        <v>253</v>
      </c>
      <c r="D934" s="8" t="s">
        <v>18</v>
      </c>
      <c r="F934" t="s">
        <v>19</v>
      </c>
      <c r="G934" s="8" t="s">
        <v>37</v>
      </c>
      <c r="K934" s="8" t="s">
        <v>25</v>
      </c>
      <c r="L934" t="s">
        <v>196</v>
      </c>
      <c r="O934">
        <v>0</v>
      </c>
      <c r="P934">
        <v>0</v>
      </c>
      <c r="Q934">
        <v>0</v>
      </c>
      <c r="R934">
        <v>0</v>
      </c>
      <c r="S934">
        <v>1</v>
      </c>
      <c r="T934">
        <v>0</v>
      </c>
      <c r="U934">
        <v>0</v>
      </c>
      <c r="V934">
        <v>0</v>
      </c>
      <c r="W934">
        <v>0</v>
      </c>
      <c r="X934">
        <v>0</v>
      </c>
      <c r="Y934">
        <v>0</v>
      </c>
      <c r="AA934" t="s">
        <v>886</v>
      </c>
      <c r="AB934" t="s">
        <v>887</v>
      </c>
      <c r="AC934" t="s">
        <v>922</v>
      </c>
      <c r="AD934" t="s">
        <v>923</v>
      </c>
    </row>
    <row r="935" spans="1:34">
      <c r="A935" s="8">
        <v>2020</v>
      </c>
      <c r="B935" s="8">
        <v>253</v>
      </c>
      <c r="D935" s="8" t="s">
        <v>18</v>
      </c>
      <c r="F935" t="s">
        <v>19</v>
      </c>
      <c r="G935" s="8" t="s">
        <v>26</v>
      </c>
      <c r="K935" s="8" t="s">
        <v>25</v>
      </c>
      <c r="L935" t="s">
        <v>196</v>
      </c>
      <c r="O935">
        <v>0</v>
      </c>
      <c r="P935">
        <v>0</v>
      </c>
      <c r="Q935">
        <v>0</v>
      </c>
      <c r="R935">
        <v>0</v>
      </c>
      <c r="S935">
        <v>0</v>
      </c>
      <c r="T935">
        <v>0</v>
      </c>
      <c r="U935">
        <v>0</v>
      </c>
      <c r="V935">
        <v>1</v>
      </c>
      <c r="W935">
        <v>0</v>
      </c>
      <c r="X935">
        <v>0</v>
      </c>
      <c r="Y935">
        <v>0</v>
      </c>
      <c r="AA935" s="12" t="s">
        <v>894</v>
      </c>
      <c r="AB935" s="12" t="s">
        <v>893</v>
      </c>
      <c r="AC935" t="s">
        <v>922</v>
      </c>
      <c r="AD935" t="s">
        <v>923</v>
      </c>
    </row>
    <row r="936" spans="1:34">
      <c r="A936" s="8">
        <v>2020</v>
      </c>
      <c r="B936" s="8">
        <v>254</v>
      </c>
      <c r="D936" s="8" t="s">
        <v>18</v>
      </c>
      <c r="F936" t="s">
        <v>19</v>
      </c>
      <c r="G936" s="8" t="s">
        <v>37</v>
      </c>
      <c r="I936" t="s">
        <v>18</v>
      </c>
      <c r="J936" t="s">
        <v>19</v>
      </c>
      <c r="K936" s="8" t="s">
        <v>41</v>
      </c>
      <c r="L936" t="s">
        <v>37</v>
      </c>
      <c r="O936">
        <v>0</v>
      </c>
      <c r="P936">
        <v>1</v>
      </c>
      <c r="Q936">
        <v>1</v>
      </c>
      <c r="R936">
        <v>0</v>
      </c>
      <c r="S936">
        <v>0</v>
      </c>
      <c r="T936">
        <v>0</v>
      </c>
      <c r="U936">
        <v>0</v>
      </c>
      <c r="V936">
        <v>0</v>
      </c>
      <c r="W936">
        <v>0</v>
      </c>
      <c r="X936">
        <v>0</v>
      </c>
      <c r="Y936">
        <v>0</v>
      </c>
      <c r="AA936" t="s">
        <v>882</v>
      </c>
      <c r="AB936" t="s">
        <v>883</v>
      </c>
    </row>
    <row r="937" spans="1:34">
      <c r="A937" s="8">
        <v>2020</v>
      </c>
      <c r="B937" s="8">
        <v>255</v>
      </c>
      <c r="D937" s="8" t="s">
        <v>18</v>
      </c>
      <c r="F937" t="s">
        <v>19</v>
      </c>
      <c r="G937" s="8" t="s">
        <v>37</v>
      </c>
      <c r="I937" t="s">
        <v>18</v>
      </c>
      <c r="J937" t="s">
        <v>19</v>
      </c>
      <c r="K937" s="8" t="s">
        <v>41</v>
      </c>
      <c r="L937" t="s">
        <v>37</v>
      </c>
      <c r="O937">
        <v>1</v>
      </c>
      <c r="P937">
        <v>0</v>
      </c>
      <c r="Q937">
        <v>1</v>
      </c>
      <c r="R937">
        <v>0</v>
      </c>
      <c r="S937">
        <v>0</v>
      </c>
      <c r="T937">
        <v>0</v>
      </c>
      <c r="U937">
        <v>0</v>
      </c>
      <c r="V937">
        <v>1</v>
      </c>
      <c r="W937">
        <v>0</v>
      </c>
      <c r="X937">
        <v>0</v>
      </c>
      <c r="Y937">
        <v>0</v>
      </c>
      <c r="AA937" t="s">
        <v>888</v>
      </c>
      <c r="AB937" t="s">
        <v>889</v>
      </c>
      <c r="AC937" t="s">
        <v>890</v>
      </c>
      <c r="AD937" t="s">
        <v>891</v>
      </c>
      <c r="AE937" t="s">
        <v>892</v>
      </c>
    </row>
    <row r="938" spans="1:34">
      <c r="A938" s="8">
        <v>2020</v>
      </c>
      <c r="B938" s="8">
        <v>256</v>
      </c>
      <c r="D938" s="8" t="s">
        <v>18</v>
      </c>
      <c r="F938" t="s">
        <v>19</v>
      </c>
      <c r="G938" s="8" t="s">
        <v>35</v>
      </c>
      <c r="I938" t="s">
        <v>230</v>
      </c>
      <c r="J938" t="s">
        <v>24</v>
      </c>
      <c r="K938" s="8" t="s">
        <v>25</v>
      </c>
      <c r="L938" t="s">
        <v>35</v>
      </c>
      <c r="O938">
        <v>0</v>
      </c>
      <c r="P938">
        <v>0</v>
      </c>
      <c r="Q938">
        <v>1</v>
      </c>
      <c r="R938">
        <v>0</v>
      </c>
      <c r="S938">
        <v>1</v>
      </c>
      <c r="T938">
        <v>0</v>
      </c>
      <c r="U938">
        <v>0</v>
      </c>
      <c r="V938">
        <v>0</v>
      </c>
      <c r="W938">
        <v>0</v>
      </c>
      <c r="X938">
        <v>0</v>
      </c>
      <c r="Y938">
        <v>0</v>
      </c>
      <c r="AA938" t="s">
        <v>895</v>
      </c>
      <c r="AB938" t="s">
        <v>896</v>
      </c>
    </row>
    <row r="939" spans="1:34">
      <c r="A939" s="8">
        <v>2020</v>
      </c>
      <c r="B939" s="8">
        <v>256</v>
      </c>
      <c r="D939" s="8" t="s">
        <v>18</v>
      </c>
      <c r="F939" t="s">
        <v>19</v>
      </c>
      <c r="G939" s="8" t="s">
        <v>60</v>
      </c>
      <c r="H939" t="s">
        <v>61</v>
      </c>
      <c r="I939" t="s">
        <v>230</v>
      </c>
      <c r="J939" t="s">
        <v>24</v>
      </c>
      <c r="K939" s="8" t="s">
        <v>25</v>
      </c>
      <c r="L939" t="s">
        <v>35</v>
      </c>
      <c r="O939">
        <v>0</v>
      </c>
      <c r="P939">
        <v>0</v>
      </c>
      <c r="Q939">
        <v>0</v>
      </c>
      <c r="R939">
        <v>0</v>
      </c>
      <c r="S939">
        <v>1</v>
      </c>
      <c r="T939">
        <v>0</v>
      </c>
      <c r="U939">
        <v>0</v>
      </c>
      <c r="V939">
        <v>0</v>
      </c>
      <c r="W939">
        <v>0</v>
      </c>
      <c r="X939">
        <v>0</v>
      </c>
      <c r="Y939">
        <v>0</v>
      </c>
      <c r="AA939" t="s">
        <v>895</v>
      </c>
      <c r="AB939" t="s">
        <v>896</v>
      </c>
    </row>
    <row r="940" spans="1:34">
      <c r="A940" s="8">
        <v>2020</v>
      </c>
      <c r="B940" s="8">
        <v>256</v>
      </c>
      <c r="D940" s="8" t="s">
        <v>18</v>
      </c>
      <c r="F940" t="s">
        <v>19</v>
      </c>
      <c r="G940" s="8" t="s">
        <v>192</v>
      </c>
      <c r="H940" t="s">
        <v>195</v>
      </c>
      <c r="I940" t="s">
        <v>230</v>
      </c>
      <c r="J940" t="s">
        <v>24</v>
      </c>
      <c r="K940" s="8" t="s">
        <v>25</v>
      </c>
      <c r="L940" t="s">
        <v>35</v>
      </c>
      <c r="O940">
        <v>0</v>
      </c>
      <c r="P940">
        <v>0</v>
      </c>
      <c r="Q940">
        <v>0</v>
      </c>
      <c r="R940">
        <v>0</v>
      </c>
      <c r="S940">
        <v>1</v>
      </c>
      <c r="T940">
        <v>0</v>
      </c>
      <c r="U940">
        <v>0</v>
      </c>
      <c r="V940">
        <v>0</v>
      </c>
      <c r="W940">
        <v>0</v>
      </c>
      <c r="X940">
        <v>0</v>
      </c>
      <c r="Y940">
        <v>0</v>
      </c>
      <c r="AA940" t="s">
        <v>895</v>
      </c>
      <c r="AB940" t="s">
        <v>896</v>
      </c>
    </row>
    <row r="941" spans="1:34">
      <c r="A941" s="8">
        <v>2020</v>
      </c>
      <c r="B941" s="8">
        <v>256</v>
      </c>
      <c r="D941" s="8" t="s">
        <v>18</v>
      </c>
      <c r="F941" t="s">
        <v>19</v>
      </c>
      <c r="G941" s="8" t="s">
        <v>18</v>
      </c>
      <c r="H941" t="s">
        <v>19</v>
      </c>
      <c r="I941" t="s">
        <v>230</v>
      </c>
      <c r="J941" t="s">
        <v>24</v>
      </c>
      <c r="K941" s="8" t="s">
        <v>25</v>
      </c>
      <c r="L941" t="s">
        <v>35</v>
      </c>
      <c r="O941">
        <v>0</v>
      </c>
      <c r="P941">
        <v>0</v>
      </c>
      <c r="Q941">
        <v>0</v>
      </c>
      <c r="R941">
        <v>0</v>
      </c>
      <c r="S941">
        <v>1</v>
      </c>
      <c r="T941">
        <v>0</v>
      </c>
      <c r="U941">
        <v>0</v>
      </c>
      <c r="V941">
        <v>0</v>
      </c>
      <c r="W941">
        <v>0</v>
      </c>
      <c r="X941">
        <v>0</v>
      </c>
      <c r="Y941">
        <v>0</v>
      </c>
      <c r="AA941" t="s">
        <v>895</v>
      </c>
      <c r="AB941" t="s">
        <v>896</v>
      </c>
    </row>
    <row r="942" spans="1:34">
      <c r="A942" s="8">
        <v>2020</v>
      </c>
      <c r="B942" s="8">
        <v>256</v>
      </c>
      <c r="D942" s="8" t="s">
        <v>18</v>
      </c>
      <c r="F942" t="s">
        <v>19</v>
      </c>
      <c r="G942" s="8" t="s">
        <v>485</v>
      </c>
      <c r="H942" t="s">
        <v>487</v>
      </c>
      <c r="I942" t="s">
        <v>230</v>
      </c>
      <c r="J942" t="s">
        <v>24</v>
      </c>
      <c r="K942" s="8" t="s">
        <v>25</v>
      </c>
      <c r="L942" t="s">
        <v>35</v>
      </c>
      <c r="O942">
        <v>0</v>
      </c>
      <c r="P942">
        <v>0</v>
      </c>
      <c r="Q942">
        <v>0</v>
      </c>
      <c r="R942">
        <v>0</v>
      </c>
      <c r="S942">
        <v>1</v>
      </c>
      <c r="T942">
        <v>0</v>
      </c>
      <c r="U942">
        <v>0</v>
      </c>
      <c r="V942">
        <v>0</v>
      </c>
      <c r="W942">
        <v>0</v>
      </c>
      <c r="X942">
        <v>0</v>
      </c>
      <c r="Y942">
        <v>0</v>
      </c>
      <c r="AA942" t="s">
        <v>895</v>
      </c>
      <c r="AB942" t="s">
        <v>896</v>
      </c>
    </row>
    <row r="943" spans="1:34">
      <c r="A943" s="8">
        <v>2020</v>
      </c>
      <c r="B943" s="8">
        <v>256</v>
      </c>
      <c r="D943" s="8" t="s">
        <v>18</v>
      </c>
      <c r="F943" t="s">
        <v>19</v>
      </c>
      <c r="G943" s="8" t="s">
        <v>484</v>
      </c>
      <c r="H943" t="s">
        <v>486</v>
      </c>
      <c r="I943" t="s">
        <v>230</v>
      </c>
      <c r="J943" t="s">
        <v>24</v>
      </c>
      <c r="K943" s="8" t="s">
        <v>25</v>
      </c>
      <c r="L943" t="s">
        <v>35</v>
      </c>
      <c r="O943">
        <v>0</v>
      </c>
      <c r="P943">
        <v>0</v>
      </c>
      <c r="Q943">
        <v>0</v>
      </c>
      <c r="R943">
        <v>0</v>
      </c>
      <c r="S943">
        <v>1</v>
      </c>
      <c r="T943">
        <v>0</v>
      </c>
      <c r="U943">
        <v>0</v>
      </c>
      <c r="V943">
        <v>0</v>
      </c>
      <c r="W943">
        <v>0</v>
      </c>
      <c r="X943">
        <v>0</v>
      </c>
      <c r="Y943">
        <v>0</v>
      </c>
      <c r="AA943" t="s">
        <v>895</v>
      </c>
      <c r="AB943" t="s">
        <v>896</v>
      </c>
    </row>
    <row r="944" spans="1:34">
      <c r="A944" s="8">
        <v>2020</v>
      </c>
      <c r="B944" s="8">
        <v>256</v>
      </c>
      <c r="D944" s="8" t="s">
        <v>18</v>
      </c>
      <c r="F944" t="s">
        <v>19</v>
      </c>
      <c r="G944" s="8" t="s">
        <v>152</v>
      </c>
      <c r="H944" t="s">
        <v>184</v>
      </c>
      <c r="I944" t="s">
        <v>230</v>
      </c>
      <c r="J944" t="s">
        <v>24</v>
      </c>
      <c r="K944" s="8" t="s">
        <v>25</v>
      </c>
      <c r="L944" t="s">
        <v>35</v>
      </c>
      <c r="O944">
        <v>0</v>
      </c>
      <c r="P944">
        <v>0</v>
      </c>
      <c r="Q944">
        <v>0</v>
      </c>
      <c r="R944">
        <v>0</v>
      </c>
      <c r="S944">
        <v>1</v>
      </c>
      <c r="T944">
        <v>0</v>
      </c>
      <c r="U944">
        <v>0</v>
      </c>
      <c r="V944">
        <v>0</v>
      </c>
      <c r="W944">
        <v>0</v>
      </c>
      <c r="X944">
        <v>0</v>
      </c>
      <c r="Y944">
        <v>0</v>
      </c>
      <c r="AA944" t="s">
        <v>895</v>
      </c>
      <c r="AB944" t="s">
        <v>896</v>
      </c>
    </row>
    <row r="945" spans="1:30">
      <c r="A945" s="8">
        <v>2020</v>
      </c>
      <c r="B945" s="8">
        <v>256</v>
      </c>
      <c r="D945" s="8" t="s">
        <v>18</v>
      </c>
      <c r="F945" t="s">
        <v>19</v>
      </c>
      <c r="G945" s="8" t="s">
        <v>22</v>
      </c>
      <c r="H945" t="s">
        <v>24</v>
      </c>
      <c r="I945" t="s">
        <v>230</v>
      </c>
      <c r="J945" t="s">
        <v>24</v>
      </c>
      <c r="K945" s="8" t="s">
        <v>25</v>
      </c>
      <c r="L945" t="s">
        <v>35</v>
      </c>
      <c r="O945">
        <v>0</v>
      </c>
      <c r="P945">
        <v>0</v>
      </c>
      <c r="Q945">
        <v>1</v>
      </c>
      <c r="R945">
        <v>0</v>
      </c>
      <c r="S945">
        <v>1</v>
      </c>
      <c r="T945">
        <v>0</v>
      </c>
      <c r="U945">
        <v>0</v>
      </c>
      <c r="V945">
        <v>0</v>
      </c>
      <c r="W945">
        <v>0</v>
      </c>
      <c r="X945">
        <v>0</v>
      </c>
      <c r="Y945">
        <v>0</v>
      </c>
      <c r="AA945" t="s">
        <v>895</v>
      </c>
      <c r="AB945" t="s">
        <v>896</v>
      </c>
    </row>
    <row r="946" spans="1:30">
      <c r="A946" s="8">
        <v>2020</v>
      </c>
      <c r="B946" s="8">
        <v>256</v>
      </c>
      <c r="D946" s="8" t="s">
        <v>18</v>
      </c>
      <c r="F946" t="s">
        <v>19</v>
      </c>
      <c r="G946" s="8" t="s">
        <v>26</v>
      </c>
      <c r="I946" t="s">
        <v>230</v>
      </c>
      <c r="J946" t="s">
        <v>24</v>
      </c>
      <c r="K946" s="8" t="s">
        <v>25</v>
      </c>
      <c r="L946" t="s">
        <v>35</v>
      </c>
      <c r="O946">
        <v>0</v>
      </c>
      <c r="P946">
        <v>0</v>
      </c>
      <c r="Q946">
        <v>0</v>
      </c>
      <c r="R946">
        <v>0</v>
      </c>
      <c r="S946">
        <v>1</v>
      </c>
      <c r="T946">
        <v>0</v>
      </c>
      <c r="U946">
        <v>0</v>
      </c>
      <c r="V946">
        <v>0</v>
      </c>
      <c r="W946">
        <v>0</v>
      </c>
      <c r="X946">
        <v>0</v>
      </c>
      <c r="Y946">
        <v>0</v>
      </c>
      <c r="AA946" t="s">
        <v>897</v>
      </c>
      <c r="AB946" t="s">
        <v>896</v>
      </c>
    </row>
    <row r="947" spans="1:30">
      <c r="A947" s="8">
        <v>2020</v>
      </c>
      <c r="B947" s="8">
        <v>257</v>
      </c>
      <c r="D947" s="8" t="s">
        <v>18</v>
      </c>
      <c r="F947" t="s">
        <v>19</v>
      </c>
      <c r="G947" s="8" t="s">
        <v>965</v>
      </c>
      <c r="I947" t="s">
        <v>18</v>
      </c>
      <c r="J947" t="s">
        <v>19</v>
      </c>
      <c r="K947" s="8" t="s">
        <v>201</v>
      </c>
      <c r="L947" t="s">
        <v>965</v>
      </c>
      <c r="O947">
        <v>0</v>
      </c>
      <c r="P947">
        <v>1</v>
      </c>
      <c r="Q947">
        <v>1</v>
      </c>
      <c r="R947">
        <v>1</v>
      </c>
      <c r="S947">
        <v>0</v>
      </c>
      <c r="T947">
        <v>0</v>
      </c>
      <c r="U947">
        <v>0</v>
      </c>
      <c r="V947">
        <v>0</v>
      </c>
      <c r="W947">
        <v>1</v>
      </c>
      <c r="X947">
        <v>0</v>
      </c>
      <c r="Y947">
        <v>1</v>
      </c>
      <c r="Z947" t="s">
        <v>898</v>
      </c>
      <c r="AA947" t="s">
        <v>899</v>
      </c>
      <c r="AB947" t="s">
        <v>900</v>
      </c>
      <c r="AC947" t="s">
        <v>929</v>
      </c>
      <c r="AD947" t="s">
        <v>930</v>
      </c>
    </row>
    <row r="948" spans="1:30">
      <c r="A948" s="8">
        <v>2020</v>
      </c>
      <c r="B948" s="8">
        <v>258</v>
      </c>
      <c r="D948" s="8" t="s">
        <v>18</v>
      </c>
      <c r="F948" t="s">
        <v>19</v>
      </c>
      <c r="G948" s="8" t="s">
        <v>26</v>
      </c>
      <c r="I948" t="s">
        <v>18</v>
      </c>
      <c r="J948" t="s">
        <v>19</v>
      </c>
      <c r="K948" s="8" t="s">
        <v>25</v>
      </c>
      <c r="L948" t="s">
        <v>26</v>
      </c>
      <c r="O948">
        <v>1</v>
      </c>
      <c r="P948">
        <v>0</v>
      </c>
      <c r="Q948">
        <v>0</v>
      </c>
      <c r="R948">
        <v>0</v>
      </c>
      <c r="S948">
        <v>0</v>
      </c>
      <c r="T948">
        <v>0</v>
      </c>
      <c r="U948">
        <v>0</v>
      </c>
      <c r="V948">
        <v>1</v>
      </c>
      <c r="W948">
        <v>0</v>
      </c>
      <c r="X948">
        <v>0</v>
      </c>
      <c r="Y948">
        <v>0</v>
      </c>
      <c r="AA948" t="s">
        <v>920</v>
      </c>
      <c r="AB948" t="s">
        <v>921</v>
      </c>
    </row>
    <row r="949" spans="1:30">
      <c r="A949" s="8">
        <v>2020</v>
      </c>
      <c r="B949" s="8">
        <v>258</v>
      </c>
      <c r="D949" s="8" t="s">
        <v>18</v>
      </c>
      <c r="F949" t="s">
        <v>19</v>
      </c>
      <c r="G949" s="8" t="s">
        <v>484</v>
      </c>
      <c r="H949" t="s">
        <v>486</v>
      </c>
      <c r="I949" t="s">
        <v>18</v>
      </c>
      <c r="J949" t="s">
        <v>19</v>
      </c>
      <c r="K949" s="8" t="s">
        <v>25</v>
      </c>
      <c r="L949" t="s">
        <v>26</v>
      </c>
      <c r="O949">
        <v>1</v>
      </c>
      <c r="P949">
        <v>0</v>
      </c>
      <c r="Q949">
        <v>0</v>
      </c>
      <c r="R949">
        <v>0</v>
      </c>
      <c r="S949">
        <v>0</v>
      </c>
      <c r="T949">
        <v>0</v>
      </c>
      <c r="U949">
        <v>0</v>
      </c>
      <c r="V949">
        <v>0</v>
      </c>
      <c r="W949">
        <v>0</v>
      </c>
      <c r="X949">
        <v>0</v>
      </c>
      <c r="Y949">
        <v>0</v>
      </c>
      <c r="AA949" t="s">
        <v>920</v>
      </c>
      <c r="AB949" t="s">
        <v>921</v>
      </c>
    </row>
    <row r="950" spans="1:30">
      <c r="A950" s="8">
        <v>2020</v>
      </c>
      <c r="B950" s="8">
        <v>258</v>
      </c>
      <c r="D950" s="8" t="s">
        <v>18</v>
      </c>
      <c r="F950" t="s">
        <v>19</v>
      </c>
      <c r="G950" s="8" t="s">
        <v>324</v>
      </c>
      <c r="H950" t="s">
        <v>332</v>
      </c>
      <c r="I950" t="s">
        <v>18</v>
      </c>
      <c r="J950" t="s">
        <v>19</v>
      </c>
      <c r="K950" s="8" t="s">
        <v>25</v>
      </c>
      <c r="L950" t="s">
        <v>26</v>
      </c>
      <c r="O950">
        <v>1</v>
      </c>
      <c r="P950">
        <v>0</v>
      </c>
      <c r="Q950">
        <v>0</v>
      </c>
      <c r="R950">
        <v>0</v>
      </c>
      <c r="S950">
        <v>0</v>
      </c>
      <c r="T950">
        <v>0</v>
      </c>
      <c r="U950">
        <v>0</v>
      </c>
      <c r="V950">
        <v>0</v>
      </c>
      <c r="W950">
        <v>0</v>
      </c>
      <c r="X950">
        <v>0</v>
      </c>
      <c r="Y950">
        <v>0</v>
      </c>
      <c r="AA950" t="s">
        <v>920</v>
      </c>
      <c r="AB950" t="s">
        <v>921</v>
      </c>
    </row>
    <row r="951" spans="1:30">
      <c r="A951" s="8">
        <v>2020</v>
      </c>
      <c r="B951" s="8">
        <v>258</v>
      </c>
      <c r="D951" s="8" t="s">
        <v>18</v>
      </c>
      <c r="F951" t="s">
        <v>19</v>
      </c>
      <c r="G951" s="8" t="s">
        <v>325</v>
      </c>
      <c r="H951" t="s">
        <v>333</v>
      </c>
      <c r="I951" t="s">
        <v>18</v>
      </c>
      <c r="J951" t="s">
        <v>19</v>
      </c>
      <c r="K951" s="8" t="s">
        <v>25</v>
      </c>
      <c r="L951" t="s">
        <v>26</v>
      </c>
      <c r="O951">
        <v>1</v>
      </c>
      <c r="P951">
        <v>0</v>
      </c>
      <c r="Q951">
        <v>0</v>
      </c>
      <c r="R951">
        <v>0</v>
      </c>
      <c r="S951">
        <v>0</v>
      </c>
      <c r="T951">
        <v>0</v>
      </c>
      <c r="U951">
        <v>0</v>
      </c>
      <c r="V951">
        <v>0</v>
      </c>
      <c r="W951">
        <v>0</v>
      </c>
      <c r="X951">
        <v>0</v>
      </c>
      <c r="Y951">
        <v>0</v>
      </c>
      <c r="AA951" t="s">
        <v>920</v>
      </c>
      <c r="AB951" t="s">
        <v>921</v>
      </c>
    </row>
    <row r="952" spans="1:30">
      <c r="A952" s="8">
        <v>2020</v>
      </c>
      <c r="B952" s="8">
        <v>258</v>
      </c>
      <c r="D952" s="8" t="s">
        <v>18</v>
      </c>
      <c r="F952" t="s">
        <v>19</v>
      </c>
      <c r="G952" s="8" t="s">
        <v>910</v>
      </c>
      <c r="H952" t="s">
        <v>911</v>
      </c>
      <c r="I952" t="s">
        <v>18</v>
      </c>
      <c r="J952" t="s">
        <v>19</v>
      </c>
      <c r="K952" s="8" t="s">
        <v>25</v>
      </c>
      <c r="L952" t="s">
        <v>26</v>
      </c>
      <c r="O952">
        <v>1</v>
      </c>
      <c r="P952">
        <v>0</v>
      </c>
      <c r="Q952">
        <v>0</v>
      </c>
      <c r="R952">
        <v>0</v>
      </c>
      <c r="S952">
        <v>0</v>
      </c>
      <c r="T952">
        <v>0</v>
      </c>
      <c r="U952">
        <v>0</v>
      </c>
      <c r="V952">
        <v>0</v>
      </c>
      <c r="W952">
        <v>0</v>
      </c>
      <c r="X952">
        <v>0</v>
      </c>
      <c r="Y952">
        <v>0</v>
      </c>
      <c r="AA952" t="s">
        <v>920</v>
      </c>
      <c r="AB952" t="s">
        <v>921</v>
      </c>
    </row>
    <row r="953" spans="1:30">
      <c r="A953" s="8">
        <v>2020</v>
      </c>
      <c r="B953" s="8">
        <v>258</v>
      </c>
      <c r="D953" s="8" t="s">
        <v>18</v>
      </c>
      <c r="F953" t="s">
        <v>19</v>
      </c>
      <c r="G953" s="8" t="s">
        <v>902</v>
      </c>
      <c r="H953" t="s">
        <v>912</v>
      </c>
      <c r="I953" t="s">
        <v>18</v>
      </c>
      <c r="J953" t="s">
        <v>19</v>
      </c>
      <c r="K953" s="8" t="s">
        <v>25</v>
      </c>
      <c r="L953" t="s">
        <v>26</v>
      </c>
      <c r="O953">
        <v>1</v>
      </c>
      <c r="P953">
        <v>0</v>
      </c>
      <c r="Q953">
        <v>0</v>
      </c>
      <c r="R953">
        <v>0</v>
      </c>
      <c r="S953">
        <v>0</v>
      </c>
      <c r="T953">
        <v>0</v>
      </c>
      <c r="U953">
        <v>0</v>
      </c>
      <c r="V953">
        <v>0</v>
      </c>
      <c r="W953">
        <v>0</v>
      </c>
      <c r="X953">
        <v>0</v>
      </c>
      <c r="Y953">
        <v>0</v>
      </c>
      <c r="AA953" t="s">
        <v>920</v>
      </c>
      <c r="AB953" t="s">
        <v>921</v>
      </c>
    </row>
    <row r="954" spans="1:30">
      <c r="A954" s="8">
        <v>2020</v>
      </c>
      <c r="B954" s="8">
        <v>258</v>
      </c>
      <c r="D954" s="8" t="s">
        <v>18</v>
      </c>
      <c r="F954" t="s">
        <v>19</v>
      </c>
      <c r="G954" s="8" t="s">
        <v>903</v>
      </c>
      <c r="H954" t="s">
        <v>913</v>
      </c>
      <c r="I954" t="s">
        <v>18</v>
      </c>
      <c r="J954" t="s">
        <v>19</v>
      </c>
      <c r="K954" s="8" t="s">
        <v>25</v>
      </c>
      <c r="L954" t="s">
        <v>26</v>
      </c>
      <c r="O954">
        <v>1</v>
      </c>
      <c r="P954">
        <v>0</v>
      </c>
      <c r="Q954">
        <v>0</v>
      </c>
      <c r="R954">
        <v>0</v>
      </c>
      <c r="S954">
        <v>0</v>
      </c>
      <c r="T954">
        <v>0</v>
      </c>
      <c r="U954">
        <v>0</v>
      </c>
      <c r="V954">
        <v>0</v>
      </c>
      <c r="W954">
        <v>0</v>
      </c>
      <c r="X954">
        <v>0</v>
      </c>
      <c r="Y954">
        <v>0</v>
      </c>
      <c r="AA954" t="s">
        <v>920</v>
      </c>
      <c r="AB954" t="s">
        <v>921</v>
      </c>
    </row>
    <row r="955" spans="1:30">
      <c r="A955" s="8">
        <v>2020</v>
      </c>
      <c r="B955" s="8">
        <v>258</v>
      </c>
      <c r="D955" s="8" t="s">
        <v>18</v>
      </c>
      <c r="F955" t="s">
        <v>19</v>
      </c>
      <c r="G955" s="8" t="s">
        <v>904</v>
      </c>
      <c r="H955" t="s">
        <v>914</v>
      </c>
      <c r="I955" t="s">
        <v>18</v>
      </c>
      <c r="J955" t="s">
        <v>19</v>
      </c>
      <c r="K955" s="8" t="s">
        <v>25</v>
      </c>
      <c r="L955" t="s">
        <v>26</v>
      </c>
      <c r="O955">
        <v>1</v>
      </c>
      <c r="P955">
        <v>0</v>
      </c>
      <c r="Q955">
        <v>0</v>
      </c>
      <c r="R955">
        <v>0</v>
      </c>
      <c r="S955">
        <v>0</v>
      </c>
      <c r="T955">
        <v>0</v>
      </c>
      <c r="U955">
        <v>0</v>
      </c>
      <c r="V955">
        <v>0</v>
      </c>
      <c r="W955">
        <v>0</v>
      </c>
      <c r="X955">
        <v>0</v>
      </c>
      <c r="Y955">
        <v>0</v>
      </c>
      <c r="AA955" t="s">
        <v>920</v>
      </c>
      <c r="AB955" t="s">
        <v>921</v>
      </c>
    </row>
    <row r="956" spans="1:30">
      <c r="A956" s="8">
        <v>2020</v>
      </c>
      <c r="B956" s="8">
        <v>258</v>
      </c>
      <c r="D956" s="8" t="s">
        <v>18</v>
      </c>
      <c r="F956" t="s">
        <v>19</v>
      </c>
      <c r="G956" s="8" t="s">
        <v>151</v>
      </c>
      <c r="H956" t="s">
        <v>183</v>
      </c>
      <c r="I956" t="s">
        <v>18</v>
      </c>
      <c r="J956" t="s">
        <v>19</v>
      </c>
      <c r="K956" s="8" t="s">
        <v>25</v>
      </c>
      <c r="L956" t="s">
        <v>26</v>
      </c>
      <c r="O956">
        <v>1</v>
      </c>
      <c r="P956">
        <v>0</v>
      </c>
      <c r="Q956">
        <v>0</v>
      </c>
      <c r="R956">
        <v>0</v>
      </c>
      <c r="S956">
        <v>0</v>
      </c>
      <c r="T956">
        <v>0</v>
      </c>
      <c r="U956">
        <v>0</v>
      </c>
      <c r="V956">
        <v>0</v>
      </c>
      <c r="W956">
        <v>0</v>
      </c>
      <c r="X956">
        <v>0</v>
      </c>
      <c r="Y956">
        <v>0</v>
      </c>
      <c r="AA956" t="s">
        <v>920</v>
      </c>
      <c r="AB956" t="s">
        <v>921</v>
      </c>
    </row>
    <row r="957" spans="1:30">
      <c r="A957" s="8">
        <v>2020</v>
      </c>
      <c r="B957" s="8">
        <v>258</v>
      </c>
      <c r="D957" s="8" t="s">
        <v>18</v>
      </c>
      <c r="F957" t="s">
        <v>19</v>
      </c>
      <c r="G957" s="8" t="s">
        <v>905</v>
      </c>
      <c r="H957" t="s">
        <v>915</v>
      </c>
      <c r="I957" t="s">
        <v>18</v>
      </c>
      <c r="J957" t="s">
        <v>19</v>
      </c>
      <c r="K957" s="8" t="s">
        <v>25</v>
      </c>
      <c r="L957" t="s">
        <v>26</v>
      </c>
      <c r="O957">
        <v>1</v>
      </c>
      <c r="P957">
        <v>0</v>
      </c>
      <c r="Q957">
        <v>0</v>
      </c>
      <c r="R957">
        <v>0</v>
      </c>
      <c r="S957">
        <v>0</v>
      </c>
      <c r="T957">
        <v>0</v>
      </c>
      <c r="U957">
        <v>0</v>
      </c>
      <c r="V957">
        <v>0</v>
      </c>
      <c r="W957">
        <v>0</v>
      </c>
      <c r="X957">
        <v>0</v>
      </c>
      <c r="Y957">
        <v>0</v>
      </c>
      <c r="AA957" t="s">
        <v>920</v>
      </c>
      <c r="AB957" t="s">
        <v>921</v>
      </c>
    </row>
    <row r="958" spans="1:30">
      <c r="A958" s="8">
        <v>2020</v>
      </c>
      <c r="B958" s="8">
        <v>258</v>
      </c>
      <c r="D958" s="8" t="s">
        <v>18</v>
      </c>
      <c r="F958" t="s">
        <v>19</v>
      </c>
      <c r="G958" s="8" t="s">
        <v>906</v>
      </c>
      <c r="H958" t="s">
        <v>916</v>
      </c>
      <c r="I958" t="s">
        <v>18</v>
      </c>
      <c r="J958" t="s">
        <v>19</v>
      </c>
      <c r="K958" s="8" t="s">
        <v>25</v>
      </c>
      <c r="L958" t="s">
        <v>26</v>
      </c>
      <c r="O958">
        <v>1</v>
      </c>
      <c r="P958">
        <v>0</v>
      </c>
      <c r="Q958">
        <v>0</v>
      </c>
      <c r="R958">
        <v>0</v>
      </c>
      <c r="S958">
        <v>0</v>
      </c>
      <c r="T958">
        <v>0</v>
      </c>
      <c r="U958">
        <v>0</v>
      </c>
      <c r="V958">
        <v>0</v>
      </c>
      <c r="W958">
        <v>0</v>
      </c>
      <c r="X958">
        <v>0</v>
      </c>
      <c r="Y958">
        <v>0</v>
      </c>
      <c r="AA958" t="s">
        <v>920</v>
      </c>
      <c r="AB958" t="s">
        <v>921</v>
      </c>
    </row>
    <row r="959" spans="1:30">
      <c r="A959" s="8">
        <v>2020</v>
      </c>
      <c r="B959" s="8">
        <v>258</v>
      </c>
      <c r="D959" s="8" t="s">
        <v>18</v>
      </c>
      <c r="F959" t="s">
        <v>19</v>
      </c>
      <c r="G959" s="8" t="s">
        <v>152</v>
      </c>
      <c r="H959" t="s">
        <v>184</v>
      </c>
      <c r="I959" t="s">
        <v>18</v>
      </c>
      <c r="J959" t="s">
        <v>19</v>
      </c>
      <c r="K959" s="8" t="s">
        <v>25</v>
      </c>
      <c r="L959" t="s">
        <v>26</v>
      </c>
      <c r="O959">
        <v>1</v>
      </c>
      <c r="P959">
        <v>0</v>
      </c>
      <c r="Q959">
        <v>0</v>
      </c>
      <c r="R959">
        <v>0</v>
      </c>
      <c r="S959">
        <v>0</v>
      </c>
      <c r="T959">
        <v>0</v>
      </c>
      <c r="U959">
        <v>0</v>
      </c>
      <c r="V959">
        <v>0</v>
      </c>
      <c r="W959">
        <v>0</v>
      </c>
      <c r="X959">
        <v>0</v>
      </c>
      <c r="Y959">
        <v>0</v>
      </c>
      <c r="AA959" t="s">
        <v>920</v>
      </c>
      <c r="AB959" t="s">
        <v>921</v>
      </c>
    </row>
    <row r="960" spans="1:30">
      <c r="A960" s="8">
        <v>2020</v>
      </c>
      <c r="B960" s="8">
        <v>258</v>
      </c>
      <c r="D960" s="8" t="s">
        <v>18</v>
      </c>
      <c r="F960" t="s">
        <v>19</v>
      </c>
      <c r="G960" s="8" t="s">
        <v>907</v>
      </c>
      <c r="H960" t="s">
        <v>917</v>
      </c>
      <c r="I960" t="s">
        <v>18</v>
      </c>
      <c r="J960" t="s">
        <v>19</v>
      </c>
      <c r="K960" s="8" t="s">
        <v>25</v>
      </c>
      <c r="L960" t="s">
        <v>26</v>
      </c>
      <c r="O960">
        <v>1</v>
      </c>
      <c r="P960">
        <v>0</v>
      </c>
      <c r="Q960">
        <v>0</v>
      </c>
      <c r="R960">
        <v>0</v>
      </c>
      <c r="S960">
        <v>0</v>
      </c>
      <c r="T960">
        <v>0</v>
      </c>
      <c r="U960">
        <v>0</v>
      </c>
      <c r="V960">
        <v>0</v>
      </c>
      <c r="W960">
        <v>0</v>
      </c>
      <c r="X960">
        <v>0</v>
      </c>
      <c r="Y960">
        <v>0</v>
      </c>
      <c r="AA960" t="s">
        <v>920</v>
      </c>
      <c r="AB960" t="s">
        <v>921</v>
      </c>
    </row>
    <row r="961" spans="1:36">
      <c r="A961" s="8">
        <v>2020</v>
      </c>
      <c r="B961" s="8">
        <v>258</v>
      </c>
      <c r="D961" s="8" t="s">
        <v>18</v>
      </c>
      <c r="F961" t="s">
        <v>19</v>
      </c>
      <c r="G961" s="8" t="s">
        <v>482</v>
      </c>
      <c r="H961" t="s">
        <v>483</v>
      </c>
      <c r="I961" t="s">
        <v>18</v>
      </c>
      <c r="J961" t="s">
        <v>19</v>
      </c>
      <c r="K961" s="8" t="s">
        <v>25</v>
      </c>
      <c r="L961" t="s">
        <v>26</v>
      </c>
      <c r="O961">
        <v>1</v>
      </c>
      <c r="P961">
        <v>0</v>
      </c>
      <c r="Q961">
        <v>0</v>
      </c>
      <c r="R961">
        <v>0</v>
      </c>
      <c r="S961">
        <v>0</v>
      </c>
      <c r="T961">
        <v>0</v>
      </c>
      <c r="U961">
        <v>0</v>
      </c>
      <c r="V961">
        <v>0</v>
      </c>
      <c r="W961">
        <v>0</v>
      </c>
      <c r="X961">
        <v>0</v>
      </c>
      <c r="Y961">
        <v>0</v>
      </c>
      <c r="AA961" t="s">
        <v>920</v>
      </c>
      <c r="AB961" t="s">
        <v>921</v>
      </c>
    </row>
    <row r="962" spans="1:36">
      <c r="A962" s="8">
        <v>2020</v>
      </c>
      <c r="B962" s="8">
        <v>258</v>
      </c>
      <c r="D962" s="8" t="s">
        <v>18</v>
      </c>
      <c r="F962" t="s">
        <v>19</v>
      </c>
      <c r="G962" s="8" t="s">
        <v>908</v>
      </c>
      <c r="H962" t="s">
        <v>918</v>
      </c>
      <c r="I962" t="s">
        <v>18</v>
      </c>
      <c r="J962" t="s">
        <v>19</v>
      </c>
      <c r="K962" s="8" t="s">
        <v>25</v>
      </c>
      <c r="L962" t="s">
        <v>26</v>
      </c>
      <c r="O962">
        <v>1</v>
      </c>
      <c r="P962">
        <v>0</v>
      </c>
      <c r="Q962">
        <v>0</v>
      </c>
      <c r="R962">
        <v>0</v>
      </c>
      <c r="S962">
        <v>0</v>
      </c>
      <c r="T962">
        <v>0</v>
      </c>
      <c r="U962">
        <v>0</v>
      </c>
      <c r="V962">
        <v>0</v>
      </c>
      <c r="W962">
        <v>0</v>
      </c>
      <c r="X962">
        <v>0</v>
      </c>
      <c r="Y962">
        <v>0</v>
      </c>
      <c r="AA962" t="s">
        <v>920</v>
      </c>
      <c r="AB962" t="s">
        <v>921</v>
      </c>
    </row>
    <row r="963" spans="1:36">
      <c r="A963" s="8">
        <v>2020</v>
      </c>
      <c r="B963" s="8">
        <v>258</v>
      </c>
      <c r="D963" s="8" t="s">
        <v>18</v>
      </c>
      <c r="F963" t="s">
        <v>19</v>
      </c>
      <c r="G963" s="8" t="s">
        <v>909</v>
      </c>
      <c r="H963" t="s">
        <v>919</v>
      </c>
      <c r="I963" t="s">
        <v>18</v>
      </c>
      <c r="J963" t="s">
        <v>19</v>
      </c>
      <c r="K963" s="8" t="s">
        <v>25</v>
      </c>
      <c r="L963" t="s">
        <v>26</v>
      </c>
      <c r="O963">
        <v>1</v>
      </c>
      <c r="P963">
        <v>0</v>
      </c>
      <c r="Q963">
        <v>0</v>
      </c>
      <c r="R963">
        <v>0</v>
      </c>
      <c r="S963">
        <v>0</v>
      </c>
      <c r="T963">
        <v>0</v>
      </c>
      <c r="U963">
        <v>0</v>
      </c>
      <c r="V963">
        <v>0</v>
      </c>
      <c r="W963">
        <v>0</v>
      </c>
      <c r="X963">
        <v>0</v>
      </c>
      <c r="Y963">
        <v>0</v>
      </c>
      <c r="AA963" t="s">
        <v>920</v>
      </c>
      <c r="AB963" t="s">
        <v>921</v>
      </c>
    </row>
    <row r="964" spans="1:36">
      <c r="A964" s="8">
        <v>2020</v>
      </c>
      <c r="B964" s="8">
        <v>259</v>
      </c>
      <c r="D964" s="8" t="s">
        <v>18</v>
      </c>
      <c r="F964" t="s">
        <v>19</v>
      </c>
      <c r="G964" s="8" t="s">
        <v>37</v>
      </c>
      <c r="I964" t="s">
        <v>18</v>
      </c>
      <c r="J964" t="s">
        <v>19</v>
      </c>
      <c r="K964" s="8" t="s">
        <v>41</v>
      </c>
      <c r="L964" t="s">
        <v>37</v>
      </c>
      <c r="O964">
        <v>1</v>
      </c>
      <c r="P964">
        <v>0</v>
      </c>
      <c r="Q964">
        <v>0</v>
      </c>
      <c r="R964">
        <v>0</v>
      </c>
      <c r="S964">
        <v>0</v>
      </c>
      <c r="T964">
        <v>0</v>
      </c>
      <c r="U964">
        <v>0</v>
      </c>
      <c r="V964">
        <v>1</v>
      </c>
      <c r="W964">
        <v>0</v>
      </c>
      <c r="X964">
        <v>0</v>
      </c>
      <c r="Y964">
        <v>0</v>
      </c>
      <c r="AA964" t="s">
        <v>926</v>
      </c>
      <c r="AB964" t="s">
        <v>928</v>
      </c>
    </row>
    <row r="965" spans="1:36">
      <c r="A965" s="8">
        <v>2020</v>
      </c>
      <c r="B965" s="8">
        <v>259</v>
      </c>
      <c r="D965" s="8" t="s">
        <v>18</v>
      </c>
      <c r="F965" t="s">
        <v>19</v>
      </c>
      <c r="G965" s="8" t="s">
        <v>927</v>
      </c>
      <c r="I965" t="s">
        <v>18</v>
      </c>
      <c r="J965" t="s">
        <v>19</v>
      </c>
      <c r="K965" s="8" t="s">
        <v>41</v>
      </c>
      <c r="L965" t="s">
        <v>37</v>
      </c>
      <c r="O965">
        <v>1</v>
      </c>
      <c r="P965">
        <v>0</v>
      </c>
      <c r="Q965">
        <v>0</v>
      </c>
      <c r="R965">
        <v>0</v>
      </c>
      <c r="S965">
        <v>0</v>
      </c>
      <c r="T965">
        <v>0</v>
      </c>
      <c r="U965">
        <v>0</v>
      </c>
      <c r="V965">
        <v>1</v>
      </c>
      <c r="W965">
        <v>0</v>
      </c>
      <c r="X965">
        <v>0</v>
      </c>
      <c r="Y965">
        <v>0</v>
      </c>
      <c r="AA965" t="s">
        <v>926</v>
      </c>
      <c r="AB965" t="s">
        <v>928</v>
      </c>
    </row>
    <row r="966" spans="1:36">
      <c r="A966" s="8">
        <v>2020</v>
      </c>
      <c r="B966" s="8">
        <v>260</v>
      </c>
      <c r="D966" s="8" t="s">
        <v>18</v>
      </c>
      <c r="F966" t="s">
        <v>19</v>
      </c>
      <c r="G966" s="8" t="s">
        <v>37</v>
      </c>
      <c r="I966" t="s">
        <v>18</v>
      </c>
      <c r="J966" t="s">
        <v>19</v>
      </c>
      <c r="K966" s="8" t="s">
        <v>41</v>
      </c>
      <c r="L966" t="s">
        <v>37</v>
      </c>
      <c r="O966">
        <v>1</v>
      </c>
      <c r="P966">
        <v>0</v>
      </c>
      <c r="Q966">
        <v>0</v>
      </c>
      <c r="R966">
        <v>0</v>
      </c>
      <c r="S966">
        <v>1</v>
      </c>
      <c r="T966">
        <v>1</v>
      </c>
      <c r="U966">
        <v>0</v>
      </c>
      <c r="V966">
        <v>0</v>
      </c>
      <c r="W966">
        <v>0</v>
      </c>
      <c r="X966">
        <v>0</v>
      </c>
      <c r="Y966">
        <v>0</v>
      </c>
      <c r="AA966" t="s">
        <v>933</v>
      </c>
      <c r="AB966" t="s">
        <v>931</v>
      </c>
      <c r="AD966" t="s">
        <v>932</v>
      </c>
      <c r="AF966" t="s">
        <v>934</v>
      </c>
      <c r="AH966" t="s">
        <v>935</v>
      </c>
      <c r="AJ966" t="s">
        <v>940</v>
      </c>
    </row>
    <row r="967" spans="1:36">
      <c r="A967" s="8">
        <v>2020</v>
      </c>
      <c r="B967" s="8">
        <v>261</v>
      </c>
      <c r="D967" s="8" t="s">
        <v>18</v>
      </c>
      <c r="F967" t="s">
        <v>19</v>
      </c>
      <c r="G967" s="8" t="s">
        <v>202</v>
      </c>
      <c r="H967" t="s">
        <v>205</v>
      </c>
      <c r="K967" s="8" t="s">
        <v>41</v>
      </c>
      <c r="L967" t="s">
        <v>871</v>
      </c>
      <c r="O967">
        <v>0</v>
      </c>
      <c r="P967">
        <v>0</v>
      </c>
      <c r="Q967">
        <v>0</v>
      </c>
      <c r="R967">
        <v>0</v>
      </c>
      <c r="S967">
        <v>1</v>
      </c>
      <c r="T967">
        <v>0</v>
      </c>
      <c r="U967">
        <v>0</v>
      </c>
      <c r="V967">
        <v>0</v>
      </c>
      <c r="W967">
        <v>0</v>
      </c>
      <c r="X967">
        <v>0</v>
      </c>
      <c r="Y967">
        <v>0</v>
      </c>
      <c r="AA967" t="s">
        <v>936</v>
      </c>
      <c r="AB967" t="s">
        <v>937</v>
      </c>
    </row>
    <row r="968" spans="1:36">
      <c r="A968" s="8">
        <v>2020</v>
      </c>
      <c r="B968" s="8">
        <v>261</v>
      </c>
      <c r="D968" s="8" t="s">
        <v>18</v>
      </c>
      <c r="F968" t="s">
        <v>19</v>
      </c>
      <c r="G968" s="8" t="s">
        <v>193</v>
      </c>
      <c r="H968" t="s">
        <v>185</v>
      </c>
      <c r="K968" s="8" t="s">
        <v>41</v>
      </c>
      <c r="L968" t="s">
        <v>871</v>
      </c>
      <c r="O968">
        <v>0</v>
      </c>
      <c r="P968">
        <v>0</v>
      </c>
      <c r="Q968">
        <v>0</v>
      </c>
      <c r="R968">
        <v>0</v>
      </c>
      <c r="S968">
        <v>1</v>
      </c>
      <c r="T968">
        <v>0</v>
      </c>
      <c r="U968">
        <v>0</v>
      </c>
      <c r="V968">
        <v>0</v>
      </c>
      <c r="W968">
        <v>0</v>
      </c>
      <c r="X968">
        <v>0</v>
      </c>
      <c r="Y968">
        <v>0</v>
      </c>
      <c r="AA968" t="s">
        <v>936</v>
      </c>
      <c r="AB968" t="s">
        <v>937</v>
      </c>
    </row>
    <row r="969" spans="1:36">
      <c r="A969" s="8">
        <v>2020</v>
      </c>
      <c r="B969" s="8">
        <v>261</v>
      </c>
      <c r="D969" s="8" t="s">
        <v>18</v>
      </c>
      <c r="F969" t="s">
        <v>19</v>
      </c>
      <c r="G969" s="8" t="s">
        <v>203</v>
      </c>
      <c r="H969" t="s">
        <v>206</v>
      </c>
      <c r="K969" s="8" t="s">
        <v>41</v>
      </c>
      <c r="L969" t="s">
        <v>871</v>
      </c>
      <c r="O969">
        <v>0</v>
      </c>
      <c r="P969">
        <v>0</v>
      </c>
      <c r="Q969">
        <v>0</v>
      </c>
      <c r="R969">
        <v>0</v>
      </c>
      <c r="S969">
        <v>1</v>
      </c>
      <c r="T969">
        <v>0</v>
      </c>
      <c r="U969">
        <v>0</v>
      </c>
      <c r="V969">
        <v>0</v>
      </c>
      <c r="W969">
        <v>0</v>
      </c>
      <c r="X969">
        <v>0</v>
      </c>
      <c r="Y969">
        <v>0</v>
      </c>
      <c r="AA969" t="s">
        <v>936</v>
      </c>
      <c r="AB969" t="s">
        <v>937</v>
      </c>
    </row>
    <row r="970" spans="1:36">
      <c r="A970" s="8">
        <v>2020</v>
      </c>
      <c r="B970" s="8">
        <v>262</v>
      </c>
      <c r="D970" s="8" t="s">
        <v>60</v>
      </c>
      <c r="E970" t="s">
        <v>28</v>
      </c>
      <c r="F970" t="s">
        <v>61</v>
      </c>
      <c r="G970" t="s">
        <v>941</v>
      </c>
      <c r="I970" t="s">
        <v>18</v>
      </c>
      <c r="J970" t="s">
        <v>19</v>
      </c>
      <c r="K970" s="8" t="s">
        <v>201</v>
      </c>
      <c r="L970" t="s">
        <v>941</v>
      </c>
      <c r="O970">
        <v>1</v>
      </c>
      <c r="P970">
        <v>0</v>
      </c>
      <c r="Q970">
        <v>0</v>
      </c>
      <c r="R970">
        <v>1</v>
      </c>
      <c r="S970">
        <v>0</v>
      </c>
      <c r="T970">
        <v>0</v>
      </c>
      <c r="U970">
        <v>0</v>
      </c>
      <c r="V970">
        <v>0</v>
      </c>
      <c r="W970">
        <v>0</v>
      </c>
      <c r="X970">
        <v>0</v>
      </c>
      <c r="Y970">
        <v>0</v>
      </c>
      <c r="AA970" t="s">
        <v>942</v>
      </c>
      <c r="AB970" t="s">
        <v>943</v>
      </c>
    </row>
    <row r="971" spans="1:36">
      <c r="A971" s="8">
        <v>2020</v>
      </c>
      <c r="B971" s="8">
        <v>263</v>
      </c>
      <c r="D971" s="8" t="s">
        <v>18</v>
      </c>
      <c r="F971" t="s">
        <v>19</v>
      </c>
      <c r="G971" s="8" t="s">
        <v>37</v>
      </c>
      <c r="I971" t="s">
        <v>18</v>
      </c>
      <c r="J971" t="s">
        <v>19</v>
      </c>
      <c r="K971" s="8" t="s">
        <v>41</v>
      </c>
      <c r="L971" t="s">
        <v>37</v>
      </c>
      <c r="O971">
        <v>1</v>
      </c>
      <c r="P971">
        <v>0</v>
      </c>
      <c r="Q971">
        <v>1</v>
      </c>
      <c r="R971">
        <v>0</v>
      </c>
      <c r="S971">
        <v>0</v>
      </c>
      <c r="T971">
        <v>0</v>
      </c>
      <c r="U971">
        <v>0</v>
      </c>
      <c r="V971">
        <v>0</v>
      </c>
      <c r="W971">
        <v>0</v>
      </c>
      <c r="X971">
        <v>0</v>
      </c>
      <c r="Y971">
        <v>0</v>
      </c>
      <c r="AA971" t="s">
        <v>939</v>
      </c>
      <c r="AB971" t="s">
        <v>938</v>
      </c>
    </row>
    <row r="972" spans="1:36">
      <c r="A972" s="8">
        <v>2020</v>
      </c>
      <c r="B972" s="8">
        <v>264</v>
      </c>
      <c r="D972" s="8" t="s">
        <v>18</v>
      </c>
      <c r="F972" t="s">
        <v>19</v>
      </c>
      <c r="G972" s="8" t="s">
        <v>37</v>
      </c>
      <c r="I972" t="s">
        <v>18</v>
      </c>
      <c r="J972" t="s">
        <v>19</v>
      </c>
      <c r="K972" s="8" t="s">
        <v>41</v>
      </c>
      <c r="L972" t="s">
        <v>37</v>
      </c>
      <c r="O972">
        <v>1</v>
      </c>
      <c r="P972">
        <v>0</v>
      </c>
      <c r="Q972">
        <v>1</v>
      </c>
      <c r="R972">
        <v>0</v>
      </c>
      <c r="S972">
        <v>0</v>
      </c>
      <c r="T972">
        <v>0</v>
      </c>
      <c r="U972">
        <v>0</v>
      </c>
      <c r="V972">
        <v>0</v>
      </c>
      <c r="W972">
        <v>0</v>
      </c>
      <c r="X972">
        <v>0</v>
      </c>
      <c r="Y972">
        <v>0</v>
      </c>
      <c r="AA972" t="s">
        <v>944</v>
      </c>
      <c r="AB972" t="s">
        <v>945</v>
      </c>
    </row>
    <row r="973" spans="1:36">
      <c r="A973" s="8">
        <v>2020</v>
      </c>
      <c r="B973" s="8">
        <v>265</v>
      </c>
      <c r="D973" s="8" t="s">
        <v>18</v>
      </c>
      <c r="F973" t="s">
        <v>19</v>
      </c>
      <c r="G973" s="8" t="s">
        <v>965</v>
      </c>
      <c r="I973" t="s">
        <v>204</v>
      </c>
      <c r="J973" t="s">
        <v>207</v>
      </c>
      <c r="K973" s="8" t="s">
        <v>201</v>
      </c>
      <c r="L973" t="s">
        <v>965</v>
      </c>
      <c r="O973">
        <v>1</v>
      </c>
      <c r="P973">
        <v>1</v>
      </c>
      <c r="Q973">
        <v>1</v>
      </c>
      <c r="R973">
        <v>0</v>
      </c>
      <c r="S973">
        <v>0</v>
      </c>
      <c r="T973">
        <v>0</v>
      </c>
      <c r="U973">
        <v>0</v>
      </c>
      <c r="V973">
        <v>0</v>
      </c>
      <c r="W973">
        <v>0</v>
      </c>
      <c r="X973">
        <v>0</v>
      </c>
      <c r="Y973">
        <v>0</v>
      </c>
      <c r="AA973" t="s">
        <v>946</v>
      </c>
      <c r="AB973" t="s">
        <v>947</v>
      </c>
    </row>
    <row r="974" spans="1:36">
      <c r="A974" s="8">
        <v>2020</v>
      </c>
      <c r="B974" s="8">
        <v>266</v>
      </c>
      <c r="D974" s="8" t="s">
        <v>18</v>
      </c>
      <c r="F974" t="s">
        <v>19</v>
      </c>
      <c r="G974" s="8" t="s">
        <v>35</v>
      </c>
      <c r="K974" s="8" t="s">
        <v>25</v>
      </c>
      <c r="L974" t="s">
        <v>35</v>
      </c>
      <c r="O974">
        <v>0</v>
      </c>
      <c r="P974">
        <v>0</v>
      </c>
      <c r="Q974">
        <v>1</v>
      </c>
      <c r="R974">
        <v>1</v>
      </c>
      <c r="S974">
        <v>0</v>
      </c>
      <c r="T974">
        <v>0</v>
      </c>
      <c r="U974">
        <v>0</v>
      </c>
      <c r="V974">
        <v>0</v>
      </c>
      <c r="W974">
        <v>0</v>
      </c>
      <c r="X974">
        <v>0</v>
      </c>
      <c r="Y974">
        <v>0</v>
      </c>
      <c r="AA974" t="s">
        <v>950</v>
      </c>
      <c r="AB974" t="s">
        <v>949</v>
      </c>
    </row>
    <row r="975" spans="1:36">
      <c r="A975" s="8">
        <v>2020</v>
      </c>
      <c r="B975" s="8">
        <v>266</v>
      </c>
      <c r="D975" s="8" t="s">
        <v>18</v>
      </c>
      <c r="F975" t="s">
        <v>19</v>
      </c>
      <c r="G975" s="8" t="s">
        <v>60</v>
      </c>
      <c r="H975" t="s">
        <v>61</v>
      </c>
      <c r="K975" s="8" t="s">
        <v>25</v>
      </c>
      <c r="L975" t="s">
        <v>35</v>
      </c>
      <c r="O975">
        <v>0</v>
      </c>
      <c r="P975">
        <v>0</v>
      </c>
      <c r="Q975">
        <v>0</v>
      </c>
      <c r="R975">
        <v>1</v>
      </c>
      <c r="S975">
        <v>0</v>
      </c>
      <c r="T975">
        <v>0</v>
      </c>
      <c r="U975">
        <v>0</v>
      </c>
      <c r="V975">
        <v>0</v>
      </c>
      <c r="W975">
        <v>0</v>
      </c>
      <c r="X975">
        <v>0</v>
      </c>
      <c r="Y975">
        <v>0</v>
      </c>
      <c r="AA975" t="s">
        <v>950</v>
      </c>
      <c r="AB975" t="s">
        <v>949</v>
      </c>
    </row>
    <row r="976" spans="1:36">
      <c r="A976" s="8">
        <v>2020</v>
      </c>
      <c r="B976" s="8">
        <v>266</v>
      </c>
      <c r="D976" s="8" t="s">
        <v>18</v>
      </c>
      <c r="F976" t="s">
        <v>19</v>
      </c>
      <c r="G976" s="8" t="s">
        <v>192</v>
      </c>
      <c r="H976" t="s">
        <v>195</v>
      </c>
      <c r="K976" s="8" t="s">
        <v>25</v>
      </c>
      <c r="L976" t="s">
        <v>35</v>
      </c>
      <c r="O976">
        <v>0</v>
      </c>
      <c r="P976">
        <v>0</v>
      </c>
      <c r="Q976">
        <v>0</v>
      </c>
      <c r="R976">
        <v>1</v>
      </c>
      <c r="S976">
        <v>0</v>
      </c>
      <c r="T976">
        <v>0</v>
      </c>
      <c r="U976">
        <v>0</v>
      </c>
      <c r="V976">
        <v>0</v>
      </c>
      <c r="W976">
        <v>0</v>
      </c>
      <c r="X976">
        <v>0</v>
      </c>
      <c r="Y976">
        <v>0</v>
      </c>
      <c r="AA976" t="s">
        <v>950</v>
      </c>
      <c r="AB976" t="s">
        <v>949</v>
      </c>
    </row>
    <row r="977" spans="1:32">
      <c r="A977" s="8">
        <v>2020</v>
      </c>
      <c r="B977" s="8">
        <v>266</v>
      </c>
      <c r="D977" s="8" t="s">
        <v>18</v>
      </c>
      <c r="F977" t="s">
        <v>19</v>
      </c>
      <c r="G977" s="8" t="s">
        <v>484</v>
      </c>
      <c r="H977" t="s">
        <v>486</v>
      </c>
      <c r="K977" s="8" t="s">
        <v>25</v>
      </c>
      <c r="L977" t="s">
        <v>35</v>
      </c>
      <c r="O977">
        <v>0</v>
      </c>
      <c r="P977">
        <v>0</v>
      </c>
      <c r="Q977">
        <v>0</v>
      </c>
      <c r="R977">
        <v>1</v>
      </c>
      <c r="S977">
        <v>0</v>
      </c>
      <c r="T977">
        <v>0</v>
      </c>
      <c r="U977">
        <v>0</v>
      </c>
      <c r="V977">
        <v>0</v>
      </c>
      <c r="W977">
        <v>0</v>
      </c>
      <c r="X977">
        <v>0</v>
      </c>
      <c r="Y977">
        <v>0</v>
      </c>
      <c r="AA977" t="s">
        <v>950</v>
      </c>
      <c r="AB977" t="s">
        <v>949</v>
      </c>
    </row>
    <row r="978" spans="1:32">
      <c r="A978" s="8">
        <v>2020</v>
      </c>
      <c r="B978" s="8">
        <v>266</v>
      </c>
      <c r="D978" s="8" t="s">
        <v>18</v>
      </c>
      <c r="F978" t="s">
        <v>19</v>
      </c>
      <c r="G978" s="8" t="s">
        <v>18</v>
      </c>
      <c r="H978" t="s">
        <v>19</v>
      </c>
      <c r="K978" s="8" t="s">
        <v>25</v>
      </c>
      <c r="L978" t="s">
        <v>35</v>
      </c>
      <c r="O978">
        <v>0</v>
      </c>
      <c r="P978">
        <v>0</v>
      </c>
      <c r="Q978">
        <v>0</v>
      </c>
      <c r="R978">
        <v>1</v>
      </c>
      <c r="S978">
        <v>0</v>
      </c>
      <c r="T978">
        <v>0</v>
      </c>
      <c r="U978">
        <v>0</v>
      </c>
      <c r="V978">
        <v>0</v>
      </c>
      <c r="W978">
        <v>0</v>
      </c>
      <c r="X978">
        <v>0</v>
      </c>
      <c r="Y978">
        <v>0</v>
      </c>
      <c r="AA978" t="s">
        <v>950</v>
      </c>
      <c r="AB978" t="s">
        <v>949</v>
      </c>
    </row>
    <row r="979" spans="1:32">
      <c r="A979" s="8">
        <v>2020</v>
      </c>
      <c r="B979" s="8">
        <v>266</v>
      </c>
      <c r="D979" s="8" t="s">
        <v>18</v>
      </c>
      <c r="F979" t="s">
        <v>19</v>
      </c>
      <c r="G979" s="8" t="s">
        <v>485</v>
      </c>
      <c r="H979" t="s">
        <v>487</v>
      </c>
      <c r="K979" s="8" t="s">
        <v>25</v>
      </c>
      <c r="L979" t="s">
        <v>35</v>
      </c>
      <c r="O979">
        <v>0</v>
      </c>
      <c r="P979">
        <v>0</v>
      </c>
      <c r="Q979">
        <v>0</v>
      </c>
      <c r="R979">
        <v>1</v>
      </c>
      <c r="S979">
        <v>0</v>
      </c>
      <c r="T979">
        <v>0</v>
      </c>
      <c r="U979">
        <v>0</v>
      </c>
      <c r="V979">
        <v>0</v>
      </c>
      <c r="W979">
        <v>0</v>
      </c>
      <c r="X979">
        <v>0</v>
      </c>
      <c r="Y979">
        <v>0</v>
      </c>
      <c r="AA979" t="s">
        <v>950</v>
      </c>
      <c r="AB979" t="s">
        <v>949</v>
      </c>
    </row>
    <row r="980" spans="1:32">
      <c r="A980" s="8">
        <v>2020</v>
      </c>
      <c r="B980" s="8">
        <v>266</v>
      </c>
      <c r="D980" s="8" t="s">
        <v>18</v>
      </c>
      <c r="F980" t="s">
        <v>19</v>
      </c>
      <c r="G980" s="8" t="s">
        <v>152</v>
      </c>
      <c r="H980" t="s">
        <v>184</v>
      </c>
      <c r="K980" s="8" t="s">
        <v>25</v>
      </c>
      <c r="L980" t="s">
        <v>35</v>
      </c>
      <c r="O980">
        <v>0</v>
      </c>
      <c r="P980">
        <v>0</v>
      </c>
      <c r="Q980">
        <v>0</v>
      </c>
      <c r="R980">
        <v>1</v>
      </c>
      <c r="S980">
        <v>0</v>
      </c>
      <c r="T980">
        <v>0</v>
      </c>
      <c r="U980">
        <v>0</v>
      </c>
      <c r="V980">
        <v>0</v>
      </c>
      <c r="W980">
        <v>0</v>
      </c>
      <c r="X980">
        <v>0</v>
      </c>
      <c r="Y980">
        <v>0</v>
      </c>
      <c r="AA980" t="s">
        <v>950</v>
      </c>
      <c r="AB980" t="s">
        <v>949</v>
      </c>
    </row>
    <row r="981" spans="1:32">
      <c r="A981" s="8">
        <v>2020</v>
      </c>
      <c r="B981" s="8">
        <v>266</v>
      </c>
      <c r="D981" s="8" t="s">
        <v>18</v>
      </c>
      <c r="F981" t="s">
        <v>19</v>
      </c>
      <c r="G981" s="8" t="s">
        <v>22</v>
      </c>
      <c r="H981" t="s">
        <v>24</v>
      </c>
      <c r="K981" s="8" t="s">
        <v>25</v>
      </c>
      <c r="L981" t="s">
        <v>35</v>
      </c>
      <c r="O981">
        <v>0</v>
      </c>
      <c r="P981">
        <v>0</v>
      </c>
      <c r="Q981">
        <v>0</v>
      </c>
      <c r="R981">
        <v>1</v>
      </c>
      <c r="S981">
        <v>0</v>
      </c>
      <c r="T981">
        <v>0</v>
      </c>
      <c r="U981">
        <v>0</v>
      </c>
      <c r="V981">
        <v>0</v>
      </c>
      <c r="W981">
        <v>0</v>
      </c>
      <c r="X981">
        <v>0</v>
      </c>
      <c r="Y981">
        <v>0</v>
      </c>
      <c r="AA981" t="s">
        <v>950</v>
      </c>
      <c r="AB981" t="s">
        <v>949</v>
      </c>
    </row>
    <row r="982" spans="1:32">
      <c r="A982" s="8">
        <v>2020</v>
      </c>
      <c r="B982" s="8">
        <v>266</v>
      </c>
      <c r="D982" s="8" t="s">
        <v>18</v>
      </c>
      <c r="F982" t="s">
        <v>19</v>
      </c>
      <c r="G982" s="8" t="s">
        <v>37</v>
      </c>
      <c r="K982" s="8" t="s">
        <v>25</v>
      </c>
      <c r="L982" t="s">
        <v>35</v>
      </c>
      <c r="O982">
        <v>0</v>
      </c>
      <c r="P982">
        <v>0</v>
      </c>
      <c r="Q982">
        <v>0</v>
      </c>
      <c r="R982">
        <v>1</v>
      </c>
      <c r="S982">
        <v>0</v>
      </c>
      <c r="T982">
        <v>0</v>
      </c>
      <c r="U982">
        <v>0</v>
      </c>
      <c r="V982">
        <v>0</v>
      </c>
      <c r="W982">
        <v>0</v>
      </c>
      <c r="X982">
        <v>0</v>
      </c>
      <c r="Y982">
        <v>0</v>
      </c>
      <c r="AA982" t="s">
        <v>950</v>
      </c>
      <c r="AB982" t="s">
        <v>949</v>
      </c>
    </row>
    <row r="983" spans="1:32">
      <c r="A983" s="8">
        <v>2020</v>
      </c>
      <c r="B983" s="8">
        <v>266</v>
      </c>
      <c r="D983" s="8" t="s">
        <v>18</v>
      </c>
      <c r="F983" t="s">
        <v>19</v>
      </c>
      <c r="G983" s="8" t="s">
        <v>26</v>
      </c>
      <c r="K983" s="8" t="s">
        <v>25</v>
      </c>
      <c r="L983" t="s">
        <v>35</v>
      </c>
      <c r="O983">
        <v>0</v>
      </c>
      <c r="P983">
        <v>0</v>
      </c>
      <c r="Q983">
        <v>0</v>
      </c>
      <c r="R983">
        <v>1</v>
      </c>
      <c r="S983">
        <v>0</v>
      </c>
      <c r="T983">
        <v>0</v>
      </c>
      <c r="U983">
        <v>0</v>
      </c>
      <c r="V983">
        <v>0</v>
      </c>
      <c r="W983">
        <v>0</v>
      </c>
      <c r="X983">
        <v>0</v>
      </c>
      <c r="Y983">
        <v>0</v>
      </c>
      <c r="AA983" t="s">
        <v>950</v>
      </c>
      <c r="AB983" t="s">
        <v>949</v>
      </c>
    </row>
    <row r="984" spans="1:32">
      <c r="A984" s="8">
        <v>2020</v>
      </c>
      <c r="B984" s="8">
        <v>266</v>
      </c>
      <c r="D984" s="8" t="s">
        <v>18</v>
      </c>
      <c r="F984" t="s">
        <v>19</v>
      </c>
      <c r="G984" s="8" t="s">
        <v>161</v>
      </c>
      <c r="K984" s="8" t="s">
        <v>25</v>
      </c>
      <c r="L984" t="s">
        <v>35</v>
      </c>
      <c r="O984">
        <v>0</v>
      </c>
      <c r="P984">
        <v>0</v>
      </c>
      <c r="Q984">
        <v>0</v>
      </c>
      <c r="R984">
        <v>1</v>
      </c>
      <c r="S984">
        <v>0</v>
      </c>
      <c r="T984">
        <v>0</v>
      </c>
      <c r="U984">
        <v>0</v>
      </c>
      <c r="V984">
        <v>0</v>
      </c>
      <c r="W984">
        <v>0</v>
      </c>
      <c r="X984">
        <v>0</v>
      </c>
      <c r="Y984">
        <v>0</v>
      </c>
      <c r="AA984" t="s">
        <v>950</v>
      </c>
      <c r="AB984" t="s">
        <v>949</v>
      </c>
    </row>
    <row r="985" spans="1:32">
      <c r="A985" s="8">
        <v>2020</v>
      </c>
      <c r="B985" s="8">
        <v>266</v>
      </c>
      <c r="D985" s="8" t="s">
        <v>18</v>
      </c>
      <c r="F985" t="s">
        <v>19</v>
      </c>
      <c r="G985" s="8" t="s">
        <v>1131</v>
      </c>
      <c r="K985" s="8" t="s">
        <v>25</v>
      </c>
      <c r="L985" t="s">
        <v>35</v>
      </c>
      <c r="O985">
        <v>0</v>
      </c>
      <c r="P985">
        <v>0</v>
      </c>
      <c r="Q985">
        <v>0</v>
      </c>
      <c r="R985">
        <v>1</v>
      </c>
      <c r="S985">
        <v>0</v>
      </c>
      <c r="T985">
        <v>0</v>
      </c>
      <c r="U985">
        <v>0</v>
      </c>
      <c r="V985">
        <v>0</v>
      </c>
      <c r="W985">
        <v>0</v>
      </c>
      <c r="X985">
        <v>0</v>
      </c>
      <c r="Y985">
        <v>0</v>
      </c>
      <c r="AA985" t="s">
        <v>950</v>
      </c>
      <c r="AB985" t="s">
        <v>949</v>
      </c>
    </row>
    <row r="986" spans="1:32">
      <c r="A986" s="8">
        <v>2020</v>
      </c>
      <c r="B986" s="8">
        <v>267</v>
      </c>
      <c r="D986" s="8" t="s">
        <v>18</v>
      </c>
      <c r="F986" t="s">
        <v>19</v>
      </c>
      <c r="G986" s="8" t="s">
        <v>1131</v>
      </c>
      <c r="K986" s="8" t="s">
        <v>25</v>
      </c>
      <c r="L986" t="s">
        <v>1131</v>
      </c>
      <c r="O986">
        <v>1</v>
      </c>
      <c r="P986">
        <v>0</v>
      </c>
      <c r="Q986">
        <v>1</v>
      </c>
      <c r="R986">
        <v>0</v>
      </c>
      <c r="S986">
        <v>0</v>
      </c>
      <c r="T986">
        <v>0</v>
      </c>
      <c r="U986">
        <v>0</v>
      </c>
      <c r="V986">
        <v>0</v>
      </c>
      <c r="W986">
        <v>0</v>
      </c>
      <c r="X986">
        <v>0</v>
      </c>
      <c r="Y986">
        <v>0</v>
      </c>
      <c r="AA986" t="s">
        <v>1132</v>
      </c>
      <c r="AB986" t="s">
        <v>949</v>
      </c>
    </row>
    <row r="987" spans="1:32">
      <c r="A987" s="8">
        <v>2020</v>
      </c>
      <c r="B987" s="8">
        <v>268</v>
      </c>
      <c r="D987" s="8" t="s">
        <v>18</v>
      </c>
      <c r="F987" t="s">
        <v>19</v>
      </c>
      <c r="G987" s="8" t="s">
        <v>249</v>
      </c>
      <c r="H987" t="s">
        <v>250</v>
      </c>
      <c r="K987" s="8" t="s">
        <v>65</v>
      </c>
      <c r="L987" t="s">
        <v>249</v>
      </c>
      <c r="O987">
        <v>0</v>
      </c>
      <c r="P987">
        <v>0</v>
      </c>
      <c r="Q987">
        <v>0</v>
      </c>
      <c r="R987">
        <v>0</v>
      </c>
      <c r="S987">
        <v>1</v>
      </c>
      <c r="T987">
        <v>1</v>
      </c>
      <c r="U987">
        <v>0</v>
      </c>
      <c r="V987">
        <v>0</v>
      </c>
      <c r="W987">
        <v>0</v>
      </c>
      <c r="X987">
        <v>0</v>
      </c>
      <c r="Y987">
        <v>0</v>
      </c>
      <c r="AA987" t="s">
        <v>951</v>
      </c>
      <c r="AB987" t="s">
        <v>952</v>
      </c>
    </row>
    <row r="988" spans="1:32">
      <c r="A988" s="8">
        <v>2020</v>
      </c>
      <c r="B988" s="8">
        <v>269</v>
      </c>
      <c r="D988" s="8" t="s">
        <v>18</v>
      </c>
      <c r="F988" t="s">
        <v>19</v>
      </c>
      <c r="G988" s="8" t="s">
        <v>37</v>
      </c>
      <c r="I988" t="s">
        <v>18</v>
      </c>
      <c r="J988" t="s">
        <v>19</v>
      </c>
      <c r="K988" s="8" t="s">
        <v>41</v>
      </c>
      <c r="L988" t="s">
        <v>37</v>
      </c>
      <c r="O988">
        <v>1</v>
      </c>
      <c r="P988">
        <v>0</v>
      </c>
      <c r="Q988">
        <v>0</v>
      </c>
      <c r="R988">
        <v>0</v>
      </c>
      <c r="S988">
        <v>0</v>
      </c>
      <c r="T988">
        <v>0</v>
      </c>
      <c r="U988">
        <v>0</v>
      </c>
      <c r="V988">
        <v>1</v>
      </c>
      <c r="W988">
        <v>0</v>
      </c>
      <c r="X988">
        <v>0</v>
      </c>
      <c r="Y988">
        <v>0</v>
      </c>
      <c r="AA988" t="s">
        <v>953</v>
      </c>
      <c r="AB988" t="s">
        <v>954</v>
      </c>
      <c r="AC988" t="s">
        <v>955</v>
      </c>
    </row>
    <row r="989" spans="1:32">
      <c r="A989" s="8">
        <v>2020</v>
      </c>
      <c r="B989" s="8">
        <v>270</v>
      </c>
      <c r="D989" s="8" t="s">
        <v>18</v>
      </c>
      <c r="F989" t="s">
        <v>19</v>
      </c>
      <c r="G989" s="8" t="s">
        <v>37</v>
      </c>
      <c r="I989" t="s">
        <v>18</v>
      </c>
      <c r="J989" t="s">
        <v>19</v>
      </c>
      <c r="K989" s="8" t="s">
        <v>65</v>
      </c>
      <c r="L989" t="s">
        <v>18</v>
      </c>
      <c r="O989">
        <v>0</v>
      </c>
      <c r="P989">
        <v>0</v>
      </c>
      <c r="Q989">
        <v>0</v>
      </c>
      <c r="R989">
        <v>0</v>
      </c>
      <c r="S989">
        <v>0</v>
      </c>
      <c r="T989">
        <v>0</v>
      </c>
      <c r="U989">
        <v>0</v>
      </c>
      <c r="V989">
        <v>1</v>
      </c>
      <c r="W989">
        <v>0</v>
      </c>
      <c r="X989">
        <v>0</v>
      </c>
      <c r="Y989">
        <v>0</v>
      </c>
      <c r="AA989" t="s">
        <v>956</v>
      </c>
      <c r="AB989" t="s">
        <v>957</v>
      </c>
      <c r="AD989" t="s">
        <v>958</v>
      </c>
      <c r="AF989" t="s">
        <v>966</v>
      </c>
    </row>
    <row r="990" spans="1:32">
      <c r="A990" s="8">
        <v>2020</v>
      </c>
      <c r="B990" s="8">
        <v>271</v>
      </c>
      <c r="D990" s="8" t="s">
        <v>18</v>
      </c>
      <c r="F990" t="s">
        <v>19</v>
      </c>
      <c r="G990" s="8" t="s">
        <v>37</v>
      </c>
      <c r="I990" t="s">
        <v>18</v>
      </c>
      <c r="J990" t="s">
        <v>19</v>
      </c>
      <c r="K990" s="8" t="s">
        <v>41</v>
      </c>
      <c r="L990" t="s">
        <v>37</v>
      </c>
      <c r="O990">
        <v>1</v>
      </c>
      <c r="P990">
        <v>0</v>
      </c>
      <c r="Q990">
        <v>0</v>
      </c>
      <c r="R990">
        <v>0</v>
      </c>
      <c r="S990">
        <v>0</v>
      </c>
      <c r="T990">
        <v>0</v>
      </c>
      <c r="U990">
        <v>0</v>
      </c>
      <c r="V990">
        <v>0</v>
      </c>
      <c r="W990">
        <v>0</v>
      </c>
      <c r="X990">
        <v>0</v>
      </c>
      <c r="Y990">
        <v>0</v>
      </c>
      <c r="AA990" t="s">
        <v>959</v>
      </c>
      <c r="AB990" t="s">
        <v>960</v>
      </c>
    </row>
    <row r="991" spans="1:32">
      <c r="A991" s="8">
        <v>2020</v>
      </c>
      <c r="B991" s="8">
        <v>272</v>
      </c>
      <c r="D991" s="8" t="s">
        <v>18</v>
      </c>
      <c r="F991" t="s">
        <v>19</v>
      </c>
      <c r="G991" s="8" t="s">
        <v>965</v>
      </c>
      <c r="I991" t="s">
        <v>204</v>
      </c>
      <c r="J991" t="s">
        <v>207</v>
      </c>
      <c r="K991" s="8" t="s">
        <v>201</v>
      </c>
      <c r="L991" t="s">
        <v>965</v>
      </c>
      <c r="O991">
        <v>1</v>
      </c>
      <c r="P991">
        <v>1</v>
      </c>
      <c r="Q991">
        <v>1</v>
      </c>
      <c r="R991">
        <v>0</v>
      </c>
      <c r="S991">
        <v>0</v>
      </c>
      <c r="T991">
        <v>0</v>
      </c>
      <c r="U991">
        <v>0</v>
      </c>
      <c r="V991">
        <v>0</v>
      </c>
      <c r="W991">
        <v>0</v>
      </c>
      <c r="X991">
        <v>0</v>
      </c>
      <c r="Y991">
        <v>0</v>
      </c>
      <c r="AA991" t="s">
        <v>961</v>
      </c>
      <c r="AB991" t="s">
        <v>963</v>
      </c>
    </row>
    <row r="992" spans="1:32">
      <c r="A992" s="8">
        <v>2020</v>
      </c>
      <c r="B992" s="8">
        <v>272</v>
      </c>
      <c r="D992" s="8" t="s">
        <v>18</v>
      </c>
      <c r="F992" t="s">
        <v>19</v>
      </c>
      <c r="G992" s="8" t="s">
        <v>37</v>
      </c>
      <c r="I992" t="s">
        <v>204</v>
      </c>
      <c r="J992" t="s">
        <v>207</v>
      </c>
      <c r="K992" s="8" t="s">
        <v>201</v>
      </c>
      <c r="L992" t="s">
        <v>965</v>
      </c>
      <c r="O992">
        <v>1</v>
      </c>
      <c r="P992">
        <v>1</v>
      </c>
      <c r="Q992">
        <v>0</v>
      </c>
      <c r="R992">
        <v>0</v>
      </c>
      <c r="S992">
        <v>0</v>
      </c>
      <c r="T992">
        <v>0</v>
      </c>
      <c r="U992">
        <v>0</v>
      </c>
      <c r="V992">
        <v>0</v>
      </c>
      <c r="W992">
        <v>0</v>
      </c>
      <c r="X992">
        <v>0</v>
      </c>
      <c r="Y992">
        <v>0</v>
      </c>
      <c r="AA992" t="s">
        <v>961</v>
      </c>
      <c r="AB992" t="s">
        <v>963</v>
      </c>
      <c r="AC992" t="s">
        <v>962</v>
      </c>
      <c r="AD992" t="s">
        <v>964</v>
      </c>
    </row>
    <row r="993" spans="1:34">
      <c r="A993" s="8">
        <v>2020</v>
      </c>
      <c r="B993" s="8">
        <v>273</v>
      </c>
      <c r="D993" s="8" t="s">
        <v>18</v>
      </c>
      <c r="F993" t="s">
        <v>19</v>
      </c>
      <c r="G993" s="8" t="s">
        <v>202</v>
      </c>
      <c r="H993" t="s">
        <v>205</v>
      </c>
      <c r="K993" s="8" t="s">
        <v>41</v>
      </c>
      <c r="L993" t="s">
        <v>871</v>
      </c>
      <c r="O993">
        <v>0</v>
      </c>
      <c r="P993">
        <v>0</v>
      </c>
      <c r="Q993">
        <v>0</v>
      </c>
      <c r="R993">
        <v>0</v>
      </c>
      <c r="S993">
        <v>1</v>
      </c>
      <c r="T993">
        <v>0</v>
      </c>
      <c r="U993">
        <v>0</v>
      </c>
      <c r="V993">
        <v>0</v>
      </c>
      <c r="W993">
        <v>0</v>
      </c>
      <c r="X993">
        <v>0</v>
      </c>
      <c r="Y993">
        <v>0</v>
      </c>
      <c r="AA993" t="s">
        <v>967</v>
      </c>
      <c r="AB993" t="s">
        <v>968</v>
      </c>
    </row>
    <row r="994" spans="1:34">
      <c r="A994" s="8">
        <v>2020</v>
      </c>
      <c r="B994" s="8">
        <v>273</v>
      </c>
      <c r="D994" s="8" t="s">
        <v>18</v>
      </c>
      <c r="F994" t="s">
        <v>19</v>
      </c>
      <c r="G994" s="8" t="s">
        <v>193</v>
      </c>
      <c r="H994" t="s">
        <v>185</v>
      </c>
      <c r="K994" s="8" t="s">
        <v>41</v>
      </c>
      <c r="L994" t="s">
        <v>871</v>
      </c>
      <c r="O994">
        <v>0</v>
      </c>
      <c r="P994">
        <v>0</v>
      </c>
      <c r="Q994">
        <v>0</v>
      </c>
      <c r="R994">
        <v>0</v>
      </c>
      <c r="S994">
        <v>1</v>
      </c>
      <c r="T994">
        <v>0</v>
      </c>
      <c r="U994">
        <v>0</v>
      </c>
      <c r="V994">
        <v>0</v>
      </c>
      <c r="W994">
        <v>0</v>
      </c>
      <c r="X994">
        <v>0</v>
      </c>
      <c r="Y994">
        <v>0</v>
      </c>
      <c r="AA994" t="s">
        <v>967</v>
      </c>
      <c r="AB994" t="s">
        <v>968</v>
      </c>
    </row>
    <row r="995" spans="1:34">
      <c r="A995" s="8">
        <v>2020</v>
      </c>
      <c r="B995" s="8">
        <v>273</v>
      </c>
      <c r="D995" s="8" t="s">
        <v>18</v>
      </c>
      <c r="F995" t="s">
        <v>19</v>
      </c>
      <c r="G995" s="8" t="s">
        <v>203</v>
      </c>
      <c r="H995" t="s">
        <v>206</v>
      </c>
      <c r="K995" s="8" t="s">
        <v>41</v>
      </c>
      <c r="L995" t="s">
        <v>871</v>
      </c>
      <c r="O995">
        <v>0</v>
      </c>
      <c r="P995">
        <v>0</v>
      </c>
      <c r="Q995">
        <v>0</v>
      </c>
      <c r="R995">
        <v>0</v>
      </c>
      <c r="S995">
        <v>1</v>
      </c>
      <c r="T995">
        <v>0</v>
      </c>
      <c r="U995">
        <v>0</v>
      </c>
      <c r="V995">
        <v>0</v>
      </c>
      <c r="W995">
        <v>0</v>
      </c>
      <c r="X995">
        <v>0</v>
      </c>
      <c r="Y995">
        <v>0</v>
      </c>
      <c r="AA995" t="s">
        <v>967</v>
      </c>
      <c r="AB995" t="s">
        <v>968</v>
      </c>
    </row>
    <row r="996" spans="1:34">
      <c r="A996" s="8">
        <v>2020</v>
      </c>
      <c r="B996" s="8">
        <v>274</v>
      </c>
      <c r="D996" s="8" t="s">
        <v>18</v>
      </c>
      <c r="F996" t="s">
        <v>19</v>
      </c>
      <c r="G996" s="8" t="s">
        <v>35</v>
      </c>
      <c r="K996" s="8" t="s">
        <v>41</v>
      </c>
      <c r="L996" t="s">
        <v>35</v>
      </c>
      <c r="O996">
        <v>1</v>
      </c>
      <c r="P996">
        <v>0</v>
      </c>
      <c r="Q996">
        <v>1</v>
      </c>
      <c r="R996">
        <v>0</v>
      </c>
      <c r="S996">
        <v>0</v>
      </c>
      <c r="T996">
        <v>0</v>
      </c>
      <c r="U996">
        <v>0</v>
      </c>
      <c r="V996">
        <v>0</v>
      </c>
      <c r="W996">
        <v>0</v>
      </c>
      <c r="X996">
        <v>0</v>
      </c>
      <c r="Y996">
        <v>0</v>
      </c>
      <c r="AA996" t="s">
        <v>969</v>
      </c>
      <c r="AB996" t="s">
        <v>970</v>
      </c>
    </row>
    <row r="997" spans="1:34">
      <c r="A997" s="8">
        <v>2020</v>
      </c>
      <c r="B997" s="8">
        <v>274</v>
      </c>
      <c r="D997" s="8" t="s">
        <v>18</v>
      </c>
      <c r="F997" t="s">
        <v>19</v>
      </c>
      <c r="G997" s="8" t="s">
        <v>37</v>
      </c>
      <c r="K997" s="8" t="s">
        <v>41</v>
      </c>
      <c r="L997" t="s">
        <v>35</v>
      </c>
      <c r="O997">
        <v>1</v>
      </c>
      <c r="P997">
        <v>0</v>
      </c>
      <c r="Q997">
        <v>1</v>
      </c>
      <c r="R997">
        <v>0</v>
      </c>
      <c r="S997">
        <v>0</v>
      </c>
      <c r="T997">
        <v>0</v>
      </c>
      <c r="U997">
        <v>0</v>
      </c>
      <c r="V997">
        <v>0</v>
      </c>
      <c r="W997">
        <v>0</v>
      </c>
      <c r="X997">
        <v>0</v>
      </c>
      <c r="Y997">
        <v>0</v>
      </c>
      <c r="AA997" t="s">
        <v>969</v>
      </c>
      <c r="AB997" t="s">
        <v>970</v>
      </c>
    </row>
    <row r="998" spans="1:34">
      <c r="A998" s="8">
        <v>2020</v>
      </c>
      <c r="B998" s="8">
        <v>275</v>
      </c>
      <c r="D998" s="8" t="s">
        <v>18</v>
      </c>
      <c r="F998" t="s">
        <v>19</v>
      </c>
      <c r="G998" s="8" t="s">
        <v>37</v>
      </c>
      <c r="I998" t="s">
        <v>18</v>
      </c>
      <c r="J998" t="s">
        <v>19</v>
      </c>
      <c r="K998" s="8" t="s">
        <v>41</v>
      </c>
      <c r="L998" t="s">
        <v>37</v>
      </c>
      <c r="O998">
        <v>1</v>
      </c>
      <c r="P998">
        <v>1</v>
      </c>
      <c r="Q998">
        <v>0</v>
      </c>
      <c r="R998">
        <v>1</v>
      </c>
      <c r="S998">
        <v>0</v>
      </c>
      <c r="T998">
        <v>0</v>
      </c>
      <c r="U998">
        <v>0</v>
      </c>
      <c r="V998">
        <v>0</v>
      </c>
      <c r="W998">
        <v>0</v>
      </c>
      <c r="X998">
        <v>0</v>
      </c>
      <c r="Y998">
        <v>0</v>
      </c>
      <c r="AA998" t="s">
        <v>971</v>
      </c>
      <c r="AB998" t="s">
        <v>972</v>
      </c>
    </row>
    <row r="999" spans="1:34">
      <c r="A999" s="8">
        <v>2021</v>
      </c>
      <c r="B999" s="8">
        <v>276</v>
      </c>
      <c r="D999" s="8" t="s">
        <v>60</v>
      </c>
      <c r="F999" t="s">
        <v>61</v>
      </c>
      <c r="G999" s="8" t="s">
        <v>18</v>
      </c>
      <c r="H999" t="s">
        <v>19</v>
      </c>
      <c r="I999" t="s">
        <v>60</v>
      </c>
      <c r="J999" t="s">
        <v>61</v>
      </c>
      <c r="K999" s="8" t="s">
        <v>65</v>
      </c>
      <c r="L999" t="s">
        <v>18</v>
      </c>
      <c r="O999">
        <v>0</v>
      </c>
      <c r="P999">
        <v>1</v>
      </c>
      <c r="Q999">
        <v>1</v>
      </c>
      <c r="R999">
        <v>1</v>
      </c>
      <c r="S999">
        <v>0</v>
      </c>
      <c r="T999">
        <v>0</v>
      </c>
      <c r="U999">
        <v>0</v>
      </c>
      <c r="V999">
        <v>0</v>
      </c>
      <c r="W999">
        <v>0</v>
      </c>
      <c r="X999">
        <v>0</v>
      </c>
      <c r="Y999">
        <v>0</v>
      </c>
      <c r="AA999" t="s">
        <v>745</v>
      </c>
      <c r="AB999" t="s">
        <v>746</v>
      </c>
    </row>
    <row r="1000" spans="1:34">
      <c r="A1000" s="8">
        <v>2021</v>
      </c>
      <c r="B1000" s="8">
        <v>277</v>
      </c>
      <c r="D1000" s="8" t="s">
        <v>60</v>
      </c>
      <c r="F1000" t="s">
        <v>61</v>
      </c>
      <c r="G1000" s="8" t="s">
        <v>18</v>
      </c>
      <c r="H1000" t="s">
        <v>19</v>
      </c>
      <c r="I1000" t="s">
        <v>18</v>
      </c>
      <c r="J1000" t="s">
        <v>19</v>
      </c>
      <c r="K1000" s="8" t="s">
        <v>65</v>
      </c>
      <c r="L1000" t="s">
        <v>18</v>
      </c>
      <c r="O1000">
        <v>1</v>
      </c>
      <c r="P1000">
        <v>1</v>
      </c>
      <c r="Q1000">
        <v>1</v>
      </c>
      <c r="R1000">
        <v>1</v>
      </c>
      <c r="S1000">
        <v>0</v>
      </c>
      <c r="T1000">
        <v>0</v>
      </c>
      <c r="U1000">
        <v>1</v>
      </c>
      <c r="V1000">
        <v>0</v>
      </c>
      <c r="W1000">
        <v>1</v>
      </c>
      <c r="X1000">
        <v>1</v>
      </c>
      <c r="Y1000">
        <v>0</v>
      </c>
      <c r="Z1000" t="s">
        <v>176</v>
      </c>
      <c r="AA1000" t="s">
        <v>747</v>
      </c>
      <c r="AB1000" t="s">
        <v>748</v>
      </c>
      <c r="AD1000" t="s">
        <v>749</v>
      </c>
    </row>
    <row r="1001" spans="1:34">
      <c r="A1001" s="8">
        <v>2021</v>
      </c>
      <c r="B1001" s="8">
        <v>278</v>
      </c>
      <c r="D1001" s="8" t="s">
        <v>60</v>
      </c>
      <c r="F1001" t="s">
        <v>61</v>
      </c>
      <c r="G1001" s="8" t="s">
        <v>35</v>
      </c>
      <c r="I1001" t="s">
        <v>152</v>
      </c>
      <c r="J1001" t="s">
        <v>184</v>
      </c>
      <c r="K1001" s="8" t="s">
        <v>25</v>
      </c>
      <c r="L1001" t="s">
        <v>35</v>
      </c>
      <c r="O1001">
        <v>0</v>
      </c>
      <c r="P1001">
        <v>0</v>
      </c>
      <c r="Q1001">
        <v>1</v>
      </c>
      <c r="R1001">
        <v>0</v>
      </c>
      <c r="S1001">
        <v>0</v>
      </c>
      <c r="T1001">
        <v>0</v>
      </c>
      <c r="U1001">
        <v>0</v>
      </c>
      <c r="V1001">
        <v>1</v>
      </c>
      <c r="W1001">
        <v>0</v>
      </c>
      <c r="X1001">
        <v>0</v>
      </c>
      <c r="Y1001">
        <v>0</v>
      </c>
      <c r="AA1001" t="s">
        <v>750</v>
      </c>
      <c r="AB1001" t="s">
        <v>751</v>
      </c>
      <c r="AC1001" t="s">
        <v>752</v>
      </c>
    </row>
    <row r="1002" spans="1:34">
      <c r="A1002" s="8">
        <v>2021</v>
      </c>
      <c r="B1002" s="8">
        <v>279</v>
      </c>
      <c r="D1002" s="8" t="s">
        <v>60</v>
      </c>
      <c r="E1002" s="12" t="s">
        <v>1076</v>
      </c>
      <c r="F1002" t="s">
        <v>61</v>
      </c>
      <c r="G1002" s="8" t="s">
        <v>18</v>
      </c>
      <c r="H1002" t="s">
        <v>61</v>
      </c>
      <c r="I1002" t="s">
        <v>18</v>
      </c>
      <c r="J1002" t="s">
        <v>19</v>
      </c>
      <c r="K1002" s="8" t="s">
        <v>41</v>
      </c>
      <c r="L1002" t="s">
        <v>18</v>
      </c>
      <c r="O1002">
        <v>1</v>
      </c>
      <c r="P1002">
        <v>1</v>
      </c>
      <c r="Q1002">
        <v>1</v>
      </c>
      <c r="R1002">
        <v>0</v>
      </c>
      <c r="S1002">
        <v>0</v>
      </c>
      <c r="T1002">
        <v>0</v>
      </c>
      <c r="U1002">
        <v>0</v>
      </c>
      <c r="V1002">
        <v>0</v>
      </c>
      <c r="W1002">
        <v>0</v>
      </c>
      <c r="X1002">
        <v>0</v>
      </c>
      <c r="Y1002">
        <v>0</v>
      </c>
      <c r="AA1002" t="s">
        <v>765</v>
      </c>
      <c r="AB1002" t="s">
        <v>766</v>
      </c>
    </row>
    <row r="1003" spans="1:34">
      <c r="A1003" s="8">
        <v>2021</v>
      </c>
      <c r="B1003" s="8">
        <v>279</v>
      </c>
      <c r="D1003" s="8" t="s">
        <v>60</v>
      </c>
      <c r="E1003" s="12" t="s">
        <v>1076</v>
      </c>
      <c r="F1003" t="s">
        <v>61</v>
      </c>
      <c r="G1003" s="8" t="s">
        <v>37</v>
      </c>
      <c r="I1003" t="s">
        <v>18</v>
      </c>
      <c r="J1003" t="s">
        <v>19</v>
      </c>
      <c r="K1003" s="8" t="s">
        <v>41</v>
      </c>
      <c r="L1003" t="s">
        <v>18</v>
      </c>
      <c r="O1003">
        <v>1</v>
      </c>
      <c r="P1003">
        <v>1</v>
      </c>
      <c r="Q1003">
        <v>0</v>
      </c>
      <c r="R1003">
        <v>0</v>
      </c>
      <c r="S1003">
        <v>0</v>
      </c>
      <c r="T1003">
        <v>0</v>
      </c>
      <c r="U1003">
        <v>0</v>
      </c>
      <c r="V1003">
        <v>0</v>
      </c>
      <c r="W1003">
        <v>0</v>
      </c>
      <c r="X1003">
        <v>0</v>
      </c>
      <c r="Y1003">
        <v>0</v>
      </c>
      <c r="AA1003" t="s">
        <v>753</v>
      </c>
      <c r="AB1003" t="s">
        <v>754</v>
      </c>
      <c r="AC1003" t="s">
        <v>765</v>
      </c>
      <c r="AD1003" t="s">
        <v>766</v>
      </c>
      <c r="AE1003" t="s">
        <v>763</v>
      </c>
      <c r="AF1003" t="s">
        <v>764</v>
      </c>
    </row>
    <row r="1004" spans="1:34">
      <c r="A1004" s="8">
        <v>2021</v>
      </c>
      <c r="B1004" s="8">
        <v>279</v>
      </c>
      <c r="D1004" s="8" t="s">
        <v>60</v>
      </c>
      <c r="E1004" s="12" t="s">
        <v>1076</v>
      </c>
      <c r="F1004" t="s">
        <v>61</v>
      </c>
      <c r="G1004" s="8" t="s">
        <v>193</v>
      </c>
      <c r="I1004" t="s">
        <v>18</v>
      </c>
      <c r="J1004" t="s">
        <v>19</v>
      </c>
      <c r="K1004" s="8" t="s">
        <v>41</v>
      </c>
      <c r="L1004" t="s">
        <v>18</v>
      </c>
      <c r="O1004">
        <v>1</v>
      </c>
      <c r="P1004">
        <v>1</v>
      </c>
      <c r="Q1004">
        <v>0</v>
      </c>
      <c r="R1004">
        <v>0</v>
      </c>
      <c r="S1004">
        <v>0</v>
      </c>
      <c r="T1004">
        <v>0</v>
      </c>
      <c r="U1004">
        <v>0</v>
      </c>
      <c r="V1004">
        <v>0</v>
      </c>
      <c r="W1004">
        <v>0</v>
      </c>
      <c r="X1004">
        <v>0</v>
      </c>
      <c r="Y1004">
        <v>0</v>
      </c>
      <c r="AA1004" t="s">
        <v>765</v>
      </c>
      <c r="AB1004" t="s">
        <v>766</v>
      </c>
    </row>
    <row r="1005" spans="1:34">
      <c r="A1005" s="8">
        <v>2021</v>
      </c>
      <c r="B1005" s="8">
        <v>280</v>
      </c>
      <c r="D1005" s="8" t="s">
        <v>60</v>
      </c>
      <c r="F1005" t="s">
        <v>61</v>
      </c>
      <c r="G1005" s="8" t="s">
        <v>37</v>
      </c>
      <c r="I1005" t="s">
        <v>222</v>
      </c>
      <c r="J1005" t="s">
        <v>227</v>
      </c>
      <c r="K1005" s="8" t="s">
        <v>41</v>
      </c>
      <c r="L1005" t="s">
        <v>222</v>
      </c>
      <c r="O1005">
        <v>0</v>
      </c>
      <c r="P1005">
        <v>0</v>
      </c>
      <c r="Q1005">
        <v>0</v>
      </c>
      <c r="R1005">
        <v>1</v>
      </c>
      <c r="S1005">
        <v>0</v>
      </c>
      <c r="T1005">
        <v>0</v>
      </c>
      <c r="U1005">
        <v>0</v>
      </c>
      <c r="V1005">
        <v>0</v>
      </c>
      <c r="W1005">
        <v>0</v>
      </c>
      <c r="X1005">
        <v>0</v>
      </c>
      <c r="Y1005">
        <v>0</v>
      </c>
      <c r="AA1005" t="s">
        <v>755</v>
      </c>
      <c r="AB1005" t="s">
        <v>756</v>
      </c>
      <c r="AD1005" t="s">
        <v>757</v>
      </c>
      <c r="AE1005" t="s">
        <v>761</v>
      </c>
      <c r="AF1005" t="s">
        <v>762</v>
      </c>
    </row>
    <row r="1006" spans="1:34">
      <c r="A1006" s="8">
        <v>2021</v>
      </c>
      <c r="B1006" s="8">
        <v>280</v>
      </c>
      <c r="D1006" s="8" t="s">
        <v>60</v>
      </c>
      <c r="F1006" t="s">
        <v>61</v>
      </c>
      <c r="G1006" s="8" t="s">
        <v>161</v>
      </c>
      <c r="I1006" t="s">
        <v>222</v>
      </c>
      <c r="J1006" t="s">
        <v>227</v>
      </c>
      <c r="K1006" s="8" t="s">
        <v>41</v>
      </c>
      <c r="L1006" t="s">
        <v>222</v>
      </c>
      <c r="O1006">
        <v>0</v>
      </c>
      <c r="P1006">
        <v>0</v>
      </c>
      <c r="Q1006">
        <v>0</v>
      </c>
      <c r="R1006">
        <v>1</v>
      </c>
      <c r="S1006">
        <v>0</v>
      </c>
      <c r="T1006">
        <v>0</v>
      </c>
      <c r="U1006">
        <v>0</v>
      </c>
      <c r="V1006">
        <v>0</v>
      </c>
      <c r="W1006">
        <v>0</v>
      </c>
      <c r="X1006">
        <v>0</v>
      </c>
      <c r="Y1006">
        <v>0</v>
      </c>
      <c r="AA1006" t="s">
        <v>755</v>
      </c>
      <c r="AB1006" t="s">
        <v>756</v>
      </c>
      <c r="AD1006" t="s">
        <v>757</v>
      </c>
      <c r="AE1006" t="s">
        <v>761</v>
      </c>
      <c r="AF1006" t="s">
        <v>762</v>
      </c>
    </row>
    <row r="1007" spans="1:34">
      <c r="A1007" s="8">
        <v>2021</v>
      </c>
      <c r="B1007" s="8">
        <v>280</v>
      </c>
      <c r="D1007" s="8" t="s">
        <v>60</v>
      </c>
      <c r="F1007" t="s">
        <v>61</v>
      </c>
      <c r="G1007" s="8" t="s">
        <v>222</v>
      </c>
      <c r="H1007" t="s">
        <v>227</v>
      </c>
      <c r="I1007" t="s">
        <v>222</v>
      </c>
      <c r="J1007" t="s">
        <v>227</v>
      </c>
      <c r="K1007" s="8" t="s">
        <v>41</v>
      </c>
      <c r="L1007" t="s">
        <v>222</v>
      </c>
      <c r="O1007">
        <v>0</v>
      </c>
      <c r="P1007">
        <v>0</v>
      </c>
      <c r="Q1007">
        <v>1</v>
      </c>
      <c r="R1007">
        <v>1</v>
      </c>
      <c r="S1007">
        <v>0</v>
      </c>
      <c r="T1007">
        <v>0</v>
      </c>
      <c r="U1007">
        <v>0</v>
      </c>
      <c r="V1007">
        <v>0</v>
      </c>
      <c r="W1007">
        <v>0</v>
      </c>
      <c r="X1007">
        <v>0</v>
      </c>
      <c r="Y1007">
        <v>0</v>
      </c>
      <c r="AA1007" t="s">
        <v>755</v>
      </c>
      <c r="AB1007" t="s">
        <v>756</v>
      </c>
      <c r="AD1007" t="s">
        <v>757</v>
      </c>
      <c r="AE1007" t="s">
        <v>761</v>
      </c>
      <c r="AF1007" t="s">
        <v>762</v>
      </c>
    </row>
    <row r="1008" spans="1:34">
      <c r="A1008" s="8">
        <v>2021</v>
      </c>
      <c r="B1008" s="8">
        <v>280</v>
      </c>
      <c r="D1008" s="8" t="s">
        <v>60</v>
      </c>
      <c r="F1008" t="s">
        <v>61</v>
      </c>
      <c r="G1008" s="8" t="s">
        <v>616</v>
      </c>
      <c r="I1008" t="s">
        <v>222</v>
      </c>
      <c r="J1008" t="s">
        <v>227</v>
      </c>
      <c r="K1008" s="8" t="s">
        <v>41</v>
      </c>
      <c r="L1008" t="s">
        <v>222</v>
      </c>
      <c r="O1008">
        <v>0</v>
      </c>
      <c r="P1008">
        <v>0</v>
      </c>
      <c r="Q1008">
        <v>0</v>
      </c>
      <c r="R1008">
        <v>1</v>
      </c>
      <c r="S1008">
        <v>0</v>
      </c>
      <c r="T1008">
        <v>0</v>
      </c>
      <c r="U1008">
        <v>0</v>
      </c>
      <c r="V1008">
        <v>0</v>
      </c>
      <c r="W1008">
        <v>0</v>
      </c>
      <c r="X1008">
        <v>0</v>
      </c>
      <c r="Y1008">
        <v>0</v>
      </c>
      <c r="AA1008" t="s">
        <v>755</v>
      </c>
      <c r="AB1008" t="s">
        <v>756</v>
      </c>
      <c r="AD1008" t="s">
        <v>757</v>
      </c>
      <c r="AE1008" t="s">
        <v>758</v>
      </c>
      <c r="AF1008" t="s">
        <v>759</v>
      </c>
      <c r="AG1008" t="s">
        <v>761</v>
      </c>
      <c r="AH1008" t="s">
        <v>762</v>
      </c>
    </row>
    <row r="1009" spans="1:30">
      <c r="A1009" s="8">
        <v>2021</v>
      </c>
      <c r="B1009" s="8">
        <v>280</v>
      </c>
      <c r="D1009" s="8" t="s">
        <v>60</v>
      </c>
      <c r="F1009" t="s">
        <v>61</v>
      </c>
      <c r="G1009" s="8" t="s">
        <v>26</v>
      </c>
      <c r="I1009" t="s">
        <v>222</v>
      </c>
      <c r="J1009" t="s">
        <v>227</v>
      </c>
      <c r="K1009" s="8" t="s">
        <v>41</v>
      </c>
      <c r="L1009" t="s">
        <v>222</v>
      </c>
      <c r="O1009">
        <v>0</v>
      </c>
      <c r="P1009">
        <v>0</v>
      </c>
      <c r="Q1009">
        <v>0</v>
      </c>
      <c r="R1009">
        <v>1</v>
      </c>
      <c r="S1009">
        <v>0</v>
      </c>
      <c r="T1009">
        <v>0</v>
      </c>
      <c r="U1009">
        <v>0</v>
      </c>
      <c r="V1009">
        <v>0</v>
      </c>
      <c r="W1009">
        <v>0</v>
      </c>
      <c r="X1009">
        <v>0</v>
      </c>
      <c r="Y1009">
        <v>0</v>
      </c>
      <c r="AA1009" t="s">
        <v>755</v>
      </c>
      <c r="AB1009" t="s">
        <v>756</v>
      </c>
      <c r="AC1009" t="s">
        <v>761</v>
      </c>
      <c r="AD1009" t="s">
        <v>762</v>
      </c>
    </row>
    <row r="1010" spans="1:30">
      <c r="A1010" s="8">
        <v>2021</v>
      </c>
      <c r="B1010" s="8">
        <v>280</v>
      </c>
      <c r="D1010" s="8" t="s">
        <v>60</v>
      </c>
      <c r="F1010" t="s">
        <v>61</v>
      </c>
      <c r="G1010" s="8" t="s">
        <v>298</v>
      </c>
      <c r="I1010" t="s">
        <v>222</v>
      </c>
      <c r="J1010" t="s">
        <v>227</v>
      </c>
      <c r="K1010" s="8" t="s">
        <v>41</v>
      </c>
      <c r="L1010" t="s">
        <v>222</v>
      </c>
      <c r="O1010">
        <v>0</v>
      </c>
      <c r="P1010">
        <v>0</v>
      </c>
      <c r="Q1010">
        <v>0</v>
      </c>
      <c r="R1010">
        <v>1</v>
      </c>
      <c r="S1010">
        <v>0</v>
      </c>
      <c r="T1010">
        <v>0</v>
      </c>
      <c r="U1010">
        <v>0</v>
      </c>
      <c r="V1010">
        <v>0</v>
      </c>
      <c r="W1010">
        <v>0</v>
      </c>
      <c r="X1010">
        <v>0</v>
      </c>
      <c r="Y1010">
        <v>0</v>
      </c>
      <c r="AA1010" t="s">
        <v>755</v>
      </c>
      <c r="AB1010" t="s">
        <v>756</v>
      </c>
      <c r="AC1010" t="s">
        <v>761</v>
      </c>
      <c r="AD1010" t="s">
        <v>762</v>
      </c>
    </row>
    <row r="1011" spans="1:30">
      <c r="A1011" s="8">
        <v>2021</v>
      </c>
      <c r="B1011" s="8">
        <v>280</v>
      </c>
      <c r="D1011" s="8" t="s">
        <v>60</v>
      </c>
      <c r="F1011" t="s">
        <v>61</v>
      </c>
      <c r="G1011" s="8" t="s">
        <v>611</v>
      </c>
      <c r="H1011" t="s">
        <v>617</v>
      </c>
      <c r="I1011" t="s">
        <v>222</v>
      </c>
      <c r="J1011" t="s">
        <v>227</v>
      </c>
      <c r="K1011" s="8" t="s">
        <v>41</v>
      </c>
      <c r="L1011" t="s">
        <v>222</v>
      </c>
      <c r="O1011">
        <v>0</v>
      </c>
      <c r="P1011">
        <v>0</v>
      </c>
      <c r="Q1011">
        <v>0</v>
      </c>
      <c r="R1011">
        <v>1</v>
      </c>
      <c r="S1011">
        <v>0</v>
      </c>
      <c r="T1011">
        <v>0</v>
      </c>
      <c r="U1011">
        <v>0</v>
      </c>
      <c r="V1011">
        <v>0</v>
      </c>
      <c r="W1011">
        <v>0</v>
      </c>
      <c r="X1011">
        <v>0</v>
      </c>
      <c r="Y1011">
        <v>0</v>
      </c>
      <c r="AA1011" t="s">
        <v>755</v>
      </c>
      <c r="AB1011" t="s">
        <v>756</v>
      </c>
      <c r="AC1011" t="s">
        <v>761</v>
      </c>
      <c r="AD1011" t="s">
        <v>762</v>
      </c>
    </row>
    <row r="1012" spans="1:30">
      <c r="A1012" s="8">
        <v>2021</v>
      </c>
      <c r="B1012" s="8">
        <v>280</v>
      </c>
      <c r="D1012" s="8" t="s">
        <v>60</v>
      </c>
      <c r="F1012" t="s">
        <v>61</v>
      </c>
      <c r="G1012" s="8" t="s">
        <v>249</v>
      </c>
      <c r="H1012" t="s">
        <v>250</v>
      </c>
      <c r="I1012" t="s">
        <v>222</v>
      </c>
      <c r="J1012" t="s">
        <v>227</v>
      </c>
      <c r="K1012" s="8" t="s">
        <v>41</v>
      </c>
      <c r="L1012" t="s">
        <v>222</v>
      </c>
      <c r="O1012">
        <v>0</v>
      </c>
      <c r="P1012">
        <v>0</v>
      </c>
      <c r="Q1012">
        <v>0</v>
      </c>
      <c r="R1012">
        <v>1</v>
      </c>
      <c r="S1012">
        <v>0</v>
      </c>
      <c r="T1012">
        <v>0</v>
      </c>
      <c r="U1012">
        <v>0</v>
      </c>
      <c r="V1012">
        <v>0</v>
      </c>
      <c r="W1012">
        <v>0</v>
      </c>
      <c r="X1012">
        <v>0</v>
      </c>
      <c r="Y1012">
        <v>0</v>
      </c>
      <c r="AA1012" t="s">
        <v>755</v>
      </c>
      <c r="AB1012" t="s">
        <v>756</v>
      </c>
      <c r="AC1012" t="s">
        <v>761</v>
      </c>
      <c r="AD1012" t="s">
        <v>762</v>
      </c>
    </row>
    <row r="1013" spans="1:30">
      <c r="A1013" s="8">
        <v>2021</v>
      </c>
      <c r="B1013" s="8">
        <v>280</v>
      </c>
      <c r="D1013" s="8" t="s">
        <v>60</v>
      </c>
      <c r="F1013" t="s">
        <v>61</v>
      </c>
      <c r="G1013" s="8" t="s">
        <v>154</v>
      </c>
      <c r="H1013" t="s">
        <v>187</v>
      </c>
      <c r="I1013" t="s">
        <v>222</v>
      </c>
      <c r="J1013" t="s">
        <v>227</v>
      </c>
      <c r="K1013" s="8" t="s">
        <v>41</v>
      </c>
      <c r="L1013" t="s">
        <v>222</v>
      </c>
      <c r="O1013">
        <v>0</v>
      </c>
      <c r="P1013">
        <v>0</v>
      </c>
      <c r="Q1013">
        <v>0</v>
      </c>
      <c r="R1013">
        <v>1</v>
      </c>
      <c r="S1013">
        <v>0</v>
      </c>
      <c r="T1013">
        <v>0</v>
      </c>
      <c r="U1013">
        <v>0</v>
      </c>
      <c r="V1013">
        <v>0</v>
      </c>
      <c r="W1013">
        <v>0</v>
      </c>
      <c r="X1013">
        <v>0</v>
      </c>
      <c r="Y1013">
        <v>0</v>
      </c>
      <c r="AA1013" t="s">
        <v>755</v>
      </c>
      <c r="AB1013" t="s">
        <v>756</v>
      </c>
      <c r="AC1013" t="s">
        <v>761</v>
      </c>
      <c r="AD1013" t="s">
        <v>762</v>
      </c>
    </row>
    <row r="1014" spans="1:30">
      <c r="A1014" s="8">
        <v>2021</v>
      </c>
      <c r="B1014" s="8">
        <v>280</v>
      </c>
      <c r="D1014" s="8" t="s">
        <v>60</v>
      </c>
      <c r="F1014" t="s">
        <v>61</v>
      </c>
      <c r="G1014" s="8" t="s">
        <v>22</v>
      </c>
      <c r="H1014" t="s">
        <v>24</v>
      </c>
      <c r="I1014" t="s">
        <v>222</v>
      </c>
      <c r="J1014" t="s">
        <v>227</v>
      </c>
      <c r="K1014" s="8" t="s">
        <v>41</v>
      </c>
      <c r="L1014" t="s">
        <v>222</v>
      </c>
      <c r="O1014">
        <v>0</v>
      </c>
      <c r="P1014">
        <v>0</v>
      </c>
      <c r="Q1014">
        <v>0</v>
      </c>
      <c r="R1014">
        <v>1</v>
      </c>
      <c r="S1014">
        <v>0</v>
      </c>
      <c r="T1014">
        <v>0</v>
      </c>
      <c r="U1014">
        <v>0</v>
      </c>
      <c r="V1014">
        <v>0</v>
      </c>
      <c r="W1014">
        <v>0</v>
      </c>
      <c r="X1014">
        <v>0</v>
      </c>
      <c r="Y1014">
        <v>0</v>
      </c>
      <c r="AA1014" t="s">
        <v>755</v>
      </c>
      <c r="AB1014" t="s">
        <v>756</v>
      </c>
      <c r="AC1014" t="s">
        <v>761</v>
      </c>
      <c r="AD1014" t="s">
        <v>762</v>
      </c>
    </row>
    <row r="1015" spans="1:30">
      <c r="A1015" s="8">
        <v>2021</v>
      </c>
      <c r="B1015" s="8">
        <v>280</v>
      </c>
      <c r="D1015" s="8" t="s">
        <v>60</v>
      </c>
      <c r="F1015" t="s">
        <v>61</v>
      </c>
      <c r="G1015" s="8" t="s">
        <v>223</v>
      </c>
      <c r="H1015" t="s">
        <v>228</v>
      </c>
      <c r="I1015" t="s">
        <v>222</v>
      </c>
      <c r="J1015" t="s">
        <v>227</v>
      </c>
      <c r="K1015" s="8" t="s">
        <v>41</v>
      </c>
      <c r="L1015" t="s">
        <v>222</v>
      </c>
      <c r="O1015">
        <v>0</v>
      </c>
      <c r="P1015">
        <v>0</v>
      </c>
      <c r="Q1015">
        <v>0</v>
      </c>
      <c r="R1015">
        <v>1</v>
      </c>
      <c r="S1015">
        <v>0</v>
      </c>
      <c r="T1015">
        <v>0</v>
      </c>
      <c r="U1015">
        <v>0</v>
      </c>
      <c r="V1015">
        <v>0</v>
      </c>
      <c r="W1015">
        <v>0</v>
      </c>
      <c r="X1015">
        <v>0</v>
      </c>
      <c r="Y1015">
        <v>0</v>
      </c>
      <c r="AA1015" t="s">
        <v>755</v>
      </c>
      <c r="AB1015" t="s">
        <v>756</v>
      </c>
      <c r="AC1015" t="s">
        <v>761</v>
      </c>
      <c r="AD1015" t="s">
        <v>762</v>
      </c>
    </row>
    <row r="1016" spans="1:30">
      <c r="A1016" s="8">
        <v>2021</v>
      </c>
      <c r="B1016" s="8">
        <v>280</v>
      </c>
      <c r="D1016" s="8" t="s">
        <v>60</v>
      </c>
      <c r="F1016" t="s">
        <v>61</v>
      </c>
      <c r="G1016" s="8" t="s">
        <v>204</v>
      </c>
      <c r="H1016" t="s">
        <v>207</v>
      </c>
      <c r="I1016" t="s">
        <v>222</v>
      </c>
      <c r="J1016" t="s">
        <v>227</v>
      </c>
      <c r="K1016" s="8" t="s">
        <v>41</v>
      </c>
      <c r="L1016" t="s">
        <v>222</v>
      </c>
      <c r="O1016">
        <v>0</v>
      </c>
      <c r="P1016">
        <v>0</v>
      </c>
      <c r="Q1016">
        <v>0</v>
      </c>
      <c r="R1016">
        <v>1</v>
      </c>
      <c r="S1016">
        <v>0</v>
      </c>
      <c r="T1016">
        <v>0</v>
      </c>
      <c r="U1016">
        <v>0</v>
      </c>
      <c r="V1016">
        <v>0</v>
      </c>
      <c r="W1016">
        <v>0</v>
      </c>
      <c r="X1016">
        <v>0</v>
      </c>
      <c r="Y1016">
        <v>0</v>
      </c>
      <c r="AA1016" t="s">
        <v>755</v>
      </c>
      <c r="AB1016" t="s">
        <v>756</v>
      </c>
      <c r="AC1016" t="s">
        <v>761</v>
      </c>
      <c r="AD1016" t="s">
        <v>762</v>
      </c>
    </row>
    <row r="1017" spans="1:30">
      <c r="A1017" s="8">
        <v>2021</v>
      </c>
      <c r="B1017" s="8">
        <v>280</v>
      </c>
      <c r="D1017" s="8" t="s">
        <v>60</v>
      </c>
      <c r="F1017" t="s">
        <v>61</v>
      </c>
      <c r="G1017" s="8" t="s">
        <v>612</v>
      </c>
      <c r="H1017" t="s">
        <v>618</v>
      </c>
      <c r="I1017" t="s">
        <v>222</v>
      </c>
      <c r="J1017" t="s">
        <v>227</v>
      </c>
      <c r="K1017" s="8" t="s">
        <v>41</v>
      </c>
      <c r="L1017" t="s">
        <v>222</v>
      </c>
      <c r="O1017">
        <v>0</v>
      </c>
      <c r="P1017">
        <v>0</v>
      </c>
      <c r="Q1017">
        <v>0</v>
      </c>
      <c r="R1017">
        <v>1</v>
      </c>
      <c r="S1017">
        <v>0</v>
      </c>
      <c r="T1017">
        <v>0</v>
      </c>
      <c r="U1017">
        <v>0</v>
      </c>
      <c r="V1017">
        <v>0</v>
      </c>
      <c r="W1017">
        <v>0</v>
      </c>
      <c r="X1017">
        <v>0</v>
      </c>
      <c r="Y1017">
        <v>0</v>
      </c>
      <c r="AA1017" t="s">
        <v>755</v>
      </c>
      <c r="AB1017" t="s">
        <v>756</v>
      </c>
      <c r="AC1017" t="s">
        <v>761</v>
      </c>
      <c r="AD1017" t="s">
        <v>762</v>
      </c>
    </row>
    <row r="1018" spans="1:30">
      <c r="A1018" s="8">
        <v>2021</v>
      </c>
      <c r="B1018" s="8">
        <v>280</v>
      </c>
      <c r="D1018" s="8" t="s">
        <v>60</v>
      </c>
      <c r="F1018" t="s">
        <v>61</v>
      </c>
      <c r="G1018" s="8" t="s">
        <v>613</v>
      </c>
      <c r="H1018" t="s">
        <v>619</v>
      </c>
      <c r="I1018" t="s">
        <v>222</v>
      </c>
      <c r="J1018" t="s">
        <v>227</v>
      </c>
      <c r="K1018" s="8" t="s">
        <v>41</v>
      </c>
      <c r="L1018" t="s">
        <v>222</v>
      </c>
      <c r="O1018">
        <v>0</v>
      </c>
      <c r="P1018">
        <v>0</v>
      </c>
      <c r="Q1018">
        <v>0</v>
      </c>
      <c r="R1018">
        <v>1</v>
      </c>
      <c r="S1018">
        <v>0</v>
      </c>
      <c r="T1018">
        <v>0</v>
      </c>
      <c r="U1018">
        <v>0</v>
      </c>
      <c r="V1018">
        <v>0</v>
      </c>
      <c r="W1018">
        <v>0</v>
      </c>
      <c r="X1018">
        <v>0</v>
      </c>
      <c r="Y1018">
        <v>0</v>
      </c>
      <c r="AA1018" t="s">
        <v>755</v>
      </c>
      <c r="AB1018" t="s">
        <v>756</v>
      </c>
      <c r="AC1018" t="s">
        <v>761</v>
      </c>
      <c r="AD1018" t="s">
        <v>762</v>
      </c>
    </row>
    <row r="1019" spans="1:30">
      <c r="A1019" s="8">
        <v>2021</v>
      </c>
      <c r="B1019" s="8">
        <v>280</v>
      </c>
      <c r="D1019" s="8" t="s">
        <v>60</v>
      </c>
      <c r="F1019" t="s">
        <v>61</v>
      </c>
      <c r="G1019" s="8" t="s">
        <v>679</v>
      </c>
      <c r="I1019" t="s">
        <v>222</v>
      </c>
      <c r="J1019" t="s">
        <v>227</v>
      </c>
      <c r="K1019" s="8" t="s">
        <v>41</v>
      </c>
      <c r="L1019" t="s">
        <v>222</v>
      </c>
      <c r="O1019">
        <v>0</v>
      </c>
      <c r="P1019">
        <v>0</v>
      </c>
      <c r="Q1019">
        <v>0</v>
      </c>
      <c r="R1019">
        <v>1</v>
      </c>
      <c r="S1019">
        <v>0</v>
      </c>
      <c r="T1019">
        <v>0</v>
      </c>
      <c r="U1019">
        <v>0</v>
      </c>
      <c r="V1019">
        <v>0</v>
      </c>
      <c r="W1019">
        <v>0</v>
      </c>
      <c r="X1019">
        <v>0</v>
      </c>
      <c r="Y1019">
        <v>0</v>
      </c>
      <c r="AA1019" t="s">
        <v>755</v>
      </c>
      <c r="AB1019" t="s">
        <v>756</v>
      </c>
      <c r="AC1019" t="s">
        <v>761</v>
      </c>
      <c r="AD1019" t="s">
        <v>762</v>
      </c>
    </row>
    <row r="1020" spans="1:30">
      <c r="A1020" s="8">
        <v>2021</v>
      </c>
      <c r="B1020" s="8">
        <v>280</v>
      </c>
      <c r="D1020" s="8" t="s">
        <v>60</v>
      </c>
      <c r="F1020" t="s">
        <v>61</v>
      </c>
      <c r="G1020" s="8" t="s">
        <v>377</v>
      </c>
      <c r="H1020" t="s">
        <v>378</v>
      </c>
      <c r="I1020" t="s">
        <v>222</v>
      </c>
      <c r="J1020" t="s">
        <v>227</v>
      </c>
      <c r="K1020" s="8" t="s">
        <v>41</v>
      </c>
      <c r="L1020" t="s">
        <v>222</v>
      </c>
      <c r="O1020">
        <v>0</v>
      </c>
      <c r="P1020">
        <v>0</v>
      </c>
      <c r="Q1020">
        <v>0</v>
      </c>
      <c r="R1020">
        <v>1</v>
      </c>
      <c r="S1020">
        <v>0</v>
      </c>
      <c r="T1020">
        <v>0</v>
      </c>
      <c r="U1020">
        <v>0</v>
      </c>
      <c r="V1020">
        <v>0</v>
      </c>
      <c r="W1020">
        <v>0</v>
      </c>
      <c r="X1020">
        <v>0</v>
      </c>
      <c r="Y1020">
        <v>0</v>
      </c>
      <c r="AA1020" t="s">
        <v>755</v>
      </c>
      <c r="AB1020" t="s">
        <v>756</v>
      </c>
      <c r="AC1020" t="s">
        <v>761</v>
      </c>
      <c r="AD1020" t="s">
        <v>762</v>
      </c>
    </row>
    <row r="1021" spans="1:30">
      <c r="A1021" s="8">
        <v>2021</v>
      </c>
      <c r="B1021" s="8">
        <v>280</v>
      </c>
      <c r="D1021" s="8" t="s">
        <v>60</v>
      </c>
      <c r="F1021" t="s">
        <v>61</v>
      </c>
      <c r="G1021" s="8" t="s">
        <v>203</v>
      </c>
      <c r="H1021" t="s">
        <v>206</v>
      </c>
      <c r="I1021" t="s">
        <v>222</v>
      </c>
      <c r="J1021" t="s">
        <v>227</v>
      </c>
      <c r="K1021" s="8" t="s">
        <v>41</v>
      </c>
      <c r="L1021" t="s">
        <v>222</v>
      </c>
      <c r="O1021">
        <v>0</v>
      </c>
      <c r="P1021">
        <v>0</v>
      </c>
      <c r="Q1021">
        <v>0</v>
      </c>
      <c r="R1021">
        <v>1</v>
      </c>
      <c r="S1021">
        <v>0</v>
      </c>
      <c r="T1021">
        <v>0</v>
      </c>
      <c r="U1021">
        <v>0</v>
      </c>
      <c r="V1021">
        <v>0</v>
      </c>
      <c r="W1021">
        <v>0</v>
      </c>
      <c r="X1021">
        <v>0</v>
      </c>
      <c r="Y1021">
        <v>0</v>
      </c>
      <c r="AA1021" t="s">
        <v>755</v>
      </c>
      <c r="AB1021" t="s">
        <v>756</v>
      </c>
      <c r="AC1021" t="s">
        <v>761</v>
      </c>
      <c r="AD1021" t="s">
        <v>762</v>
      </c>
    </row>
    <row r="1022" spans="1:30">
      <c r="A1022" s="8">
        <v>2021</v>
      </c>
      <c r="B1022" s="8">
        <v>280</v>
      </c>
      <c r="D1022" s="8" t="s">
        <v>60</v>
      </c>
      <c r="F1022" t="s">
        <v>61</v>
      </c>
      <c r="G1022" s="8" t="s">
        <v>157</v>
      </c>
      <c r="H1022" t="s">
        <v>190</v>
      </c>
      <c r="I1022" t="s">
        <v>222</v>
      </c>
      <c r="J1022" t="s">
        <v>227</v>
      </c>
      <c r="K1022" s="8" t="s">
        <v>41</v>
      </c>
      <c r="L1022" t="s">
        <v>222</v>
      </c>
      <c r="O1022">
        <v>0</v>
      </c>
      <c r="P1022">
        <v>0</v>
      </c>
      <c r="Q1022">
        <v>0</v>
      </c>
      <c r="R1022">
        <v>1</v>
      </c>
      <c r="S1022">
        <v>0</v>
      </c>
      <c r="T1022">
        <v>0</v>
      </c>
      <c r="U1022">
        <v>0</v>
      </c>
      <c r="V1022">
        <v>0</v>
      </c>
      <c r="W1022">
        <v>0</v>
      </c>
      <c r="X1022">
        <v>0</v>
      </c>
      <c r="Y1022">
        <v>0</v>
      </c>
      <c r="AA1022" t="s">
        <v>755</v>
      </c>
      <c r="AB1022" t="s">
        <v>756</v>
      </c>
      <c r="AC1022" t="s">
        <v>761</v>
      </c>
      <c r="AD1022" t="s">
        <v>762</v>
      </c>
    </row>
    <row r="1023" spans="1:30">
      <c r="A1023" s="8">
        <v>2021</v>
      </c>
      <c r="B1023" s="8">
        <v>280</v>
      </c>
      <c r="D1023" s="8" t="s">
        <v>60</v>
      </c>
      <c r="F1023" t="s">
        <v>61</v>
      </c>
      <c r="G1023" s="8" t="s">
        <v>482</v>
      </c>
      <c r="H1023" t="s">
        <v>483</v>
      </c>
      <c r="I1023" t="s">
        <v>222</v>
      </c>
      <c r="J1023" t="s">
        <v>227</v>
      </c>
      <c r="K1023" s="8" t="s">
        <v>41</v>
      </c>
      <c r="L1023" t="s">
        <v>222</v>
      </c>
      <c r="O1023">
        <v>0</v>
      </c>
      <c r="P1023">
        <v>0</v>
      </c>
      <c r="Q1023">
        <v>0</v>
      </c>
      <c r="R1023">
        <v>1</v>
      </c>
      <c r="S1023">
        <v>0</v>
      </c>
      <c r="T1023">
        <v>0</v>
      </c>
      <c r="U1023">
        <v>0</v>
      </c>
      <c r="V1023">
        <v>0</v>
      </c>
      <c r="W1023">
        <v>0</v>
      </c>
      <c r="X1023">
        <v>0</v>
      </c>
      <c r="Y1023">
        <v>0</v>
      </c>
      <c r="AA1023" t="s">
        <v>755</v>
      </c>
      <c r="AB1023" t="s">
        <v>756</v>
      </c>
      <c r="AC1023" t="s">
        <v>761</v>
      </c>
      <c r="AD1023" t="s">
        <v>762</v>
      </c>
    </row>
    <row r="1024" spans="1:30">
      <c r="A1024" s="8">
        <v>2021</v>
      </c>
      <c r="B1024" s="8">
        <v>280</v>
      </c>
      <c r="D1024" s="8" t="s">
        <v>60</v>
      </c>
      <c r="F1024" t="s">
        <v>61</v>
      </c>
      <c r="G1024" s="8" t="s">
        <v>62</v>
      </c>
      <c r="H1024" t="s">
        <v>63</v>
      </c>
      <c r="I1024" t="s">
        <v>222</v>
      </c>
      <c r="J1024" t="s">
        <v>227</v>
      </c>
      <c r="K1024" s="8" t="s">
        <v>41</v>
      </c>
      <c r="L1024" t="s">
        <v>222</v>
      </c>
      <c r="O1024">
        <v>0</v>
      </c>
      <c r="P1024">
        <v>0</v>
      </c>
      <c r="Q1024">
        <v>0</v>
      </c>
      <c r="R1024">
        <v>1</v>
      </c>
      <c r="S1024">
        <v>0</v>
      </c>
      <c r="T1024">
        <v>0</v>
      </c>
      <c r="U1024">
        <v>0</v>
      </c>
      <c r="V1024">
        <v>0</v>
      </c>
      <c r="W1024">
        <v>0</v>
      </c>
      <c r="X1024">
        <v>0</v>
      </c>
      <c r="Y1024">
        <v>0</v>
      </c>
      <c r="AA1024" t="s">
        <v>755</v>
      </c>
      <c r="AB1024" t="s">
        <v>756</v>
      </c>
      <c r="AC1024" t="s">
        <v>761</v>
      </c>
      <c r="AD1024" t="s">
        <v>762</v>
      </c>
    </row>
    <row r="1025" spans="1:30">
      <c r="A1025" s="8">
        <v>2021</v>
      </c>
      <c r="B1025" s="8">
        <v>280</v>
      </c>
      <c r="D1025" s="8" t="s">
        <v>60</v>
      </c>
      <c r="F1025" t="s">
        <v>61</v>
      </c>
      <c r="G1025" s="8" t="s">
        <v>155</v>
      </c>
      <c r="H1025" t="s">
        <v>188</v>
      </c>
      <c r="I1025" t="s">
        <v>222</v>
      </c>
      <c r="J1025" t="s">
        <v>227</v>
      </c>
      <c r="K1025" s="8" t="s">
        <v>41</v>
      </c>
      <c r="L1025" t="s">
        <v>222</v>
      </c>
      <c r="O1025">
        <v>0</v>
      </c>
      <c r="P1025">
        <v>0</v>
      </c>
      <c r="Q1025">
        <v>0</v>
      </c>
      <c r="R1025">
        <v>1</v>
      </c>
      <c r="S1025">
        <v>0</v>
      </c>
      <c r="T1025">
        <v>0</v>
      </c>
      <c r="U1025">
        <v>0</v>
      </c>
      <c r="V1025">
        <v>0</v>
      </c>
      <c r="W1025">
        <v>0</v>
      </c>
      <c r="X1025">
        <v>0</v>
      </c>
      <c r="Y1025">
        <v>0</v>
      </c>
      <c r="AA1025" t="s">
        <v>755</v>
      </c>
      <c r="AB1025" t="s">
        <v>756</v>
      </c>
      <c r="AC1025" t="s">
        <v>761</v>
      </c>
      <c r="AD1025" t="s">
        <v>762</v>
      </c>
    </row>
    <row r="1026" spans="1:30">
      <c r="A1026" s="8">
        <v>2021</v>
      </c>
      <c r="B1026" s="8">
        <v>280</v>
      </c>
      <c r="D1026" s="8" t="s">
        <v>60</v>
      </c>
      <c r="F1026" t="s">
        <v>61</v>
      </c>
      <c r="G1026" s="8" t="s">
        <v>18</v>
      </c>
      <c r="H1026" t="s">
        <v>19</v>
      </c>
      <c r="I1026" t="s">
        <v>222</v>
      </c>
      <c r="J1026" t="s">
        <v>227</v>
      </c>
      <c r="K1026" s="8" t="s">
        <v>41</v>
      </c>
      <c r="L1026" t="s">
        <v>222</v>
      </c>
      <c r="O1026">
        <v>0</v>
      </c>
      <c r="P1026">
        <v>0</v>
      </c>
      <c r="Q1026">
        <v>0</v>
      </c>
      <c r="R1026">
        <v>1</v>
      </c>
      <c r="S1026">
        <v>0</v>
      </c>
      <c r="T1026">
        <v>0</v>
      </c>
      <c r="U1026">
        <v>0</v>
      </c>
      <c r="V1026">
        <v>0</v>
      </c>
      <c r="W1026">
        <v>0</v>
      </c>
      <c r="X1026">
        <v>0</v>
      </c>
      <c r="Y1026">
        <v>0</v>
      </c>
      <c r="AA1026" t="s">
        <v>755</v>
      </c>
      <c r="AB1026" t="s">
        <v>756</v>
      </c>
      <c r="AC1026" t="s">
        <v>761</v>
      </c>
      <c r="AD1026" t="s">
        <v>762</v>
      </c>
    </row>
    <row r="1027" spans="1:30">
      <c r="A1027" s="8">
        <v>2021</v>
      </c>
      <c r="B1027" s="8">
        <v>280</v>
      </c>
      <c r="D1027" s="8" t="s">
        <v>60</v>
      </c>
      <c r="F1027" t="s">
        <v>61</v>
      </c>
      <c r="G1027" s="8" t="s">
        <v>331</v>
      </c>
      <c r="H1027" t="s">
        <v>339</v>
      </c>
      <c r="I1027" t="s">
        <v>222</v>
      </c>
      <c r="J1027" t="s">
        <v>227</v>
      </c>
      <c r="K1027" s="8" t="s">
        <v>41</v>
      </c>
      <c r="L1027" t="s">
        <v>222</v>
      </c>
      <c r="O1027">
        <v>0</v>
      </c>
      <c r="P1027">
        <v>0</v>
      </c>
      <c r="Q1027">
        <v>0</v>
      </c>
      <c r="R1027">
        <v>1</v>
      </c>
      <c r="S1027">
        <v>0</v>
      </c>
      <c r="T1027">
        <v>0</v>
      </c>
      <c r="U1027">
        <v>0</v>
      </c>
      <c r="V1027">
        <v>0</v>
      </c>
      <c r="W1027">
        <v>0</v>
      </c>
      <c r="X1027">
        <v>0</v>
      </c>
      <c r="Y1027">
        <v>0</v>
      </c>
      <c r="AA1027" t="s">
        <v>755</v>
      </c>
      <c r="AB1027" t="s">
        <v>756</v>
      </c>
      <c r="AC1027" t="s">
        <v>761</v>
      </c>
      <c r="AD1027" t="s">
        <v>762</v>
      </c>
    </row>
    <row r="1028" spans="1:30">
      <c r="A1028" s="8">
        <v>2021</v>
      </c>
      <c r="B1028" s="8">
        <v>280</v>
      </c>
      <c r="D1028" s="8" t="s">
        <v>60</v>
      </c>
      <c r="F1028" t="s">
        <v>61</v>
      </c>
      <c r="G1028" s="8" t="s">
        <v>567</v>
      </c>
      <c r="H1028" t="s">
        <v>568</v>
      </c>
      <c r="I1028" t="s">
        <v>222</v>
      </c>
      <c r="J1028" t="s">
        <v>227</v>
      </c>
      <c r="K1028" s="8" t="s">
        <v>41</v>
      </c>
      <c r="L1028" t="s">
        <v>222</v>
      </c>
      <c r="O1028">
        <v>0</v>
      </c>
      <c r="P1028">
        <v>0</v>
      </c>
      <c r="Q1028">
        <v>0</v>
      </c>
      <c r="R1028">
        <v>1</v>
      </c>
      <c r="S1028">
        <v>0</v>
      </c>
      <c r="T1028">
        <v>0</v>
      </c>
      <c r="U1028">
        <v>0</v>
      </c>
      <c r="V1028">
        <v>0</v>
      </c>
      <c r="W1028">
        <v>0</v>
      </c>
      <c r="X1028">
        <v>0</v>
      </c>
      <c r="Y1028">
        <v>0</v>
      </c>
      <c r="AA1028" t="s">
        <v>755</v>
      </c>
      <c r="AB1028" t="s">
        <v>756</v>
      </c>
      <c r="AC1028" t="s">
        <v>761</v>
      </c>
      <c r="AD1028" t="s">
        <v>762</v>
      </c>
    </row>
    <row r="1029" spans="1:30">
      <c r="A1029" s="8">
        <v>2021</v>
      </c>
      <c r="B1029" s="8">
        <v>280</v>
      </c>
      <c r="D1029" s="8" t="s">
        <v>60</v>
      </c>
      <c r="F1029" t="s">
        <v>61</v>
      </c>
      <c r="G1029" s="8" t="s">
        <v>615</v>
      </c>
      <c r="H1029" t="s">
        <v>620</v>
      </c>
      <c r="I1029" t="s">
        <v>222</v>
      </c>
      <c r="J1029" t="s">
        <v>227</v>
      </c>
      <c r="K1029" s="8" t="s">
        <v>41</v>
      </c>
      <c r="L1029" t="s">
        <v>222</v>
      </c>
      <c r="O1029">
        <v>0</v>
      </c>
      <c r="P1029">
        <v>0</v>
      </c>
      <c r="Q1029">
        <v>0</v>
      </c>
      <c r="R1029">
        <v>1</v>
      </c>
      <c r="S1029">
        <v>0</v>
      </c>
      <c r="T1029">
        <v>0</v>
      </c>
      <c r="U1029">
        <v>0</v>
      </c>
      <c r="V1029">
        <v>0</v>
      </c>
      <c r="W1029">
        <v>0</v>
      </c>
      <c r="X1029">
        <v>0</v>
      </c>
      <c r="Y1029">
        <v>0</v>
      </c>
      <c r="AA1029" t="s">
        <v>755</v>
      </c>
      <c r="AB1029" t="s">
        <v>756</v>
      </c>
      <c r="AC1029" t="s">
        <v>761</v>
      </c>
      <c r="AD1029" t="s">
        <v>762</v>
      </c>
    </row>
    <row r="1030" spans="1:30">
      <c r="A1030" s="8">
        <v>2021</v>
      </c>
      <c r="B1030" s="8">
        <v>280</v>
      </c>
      <c r="D1030" s="8" t="s">
        <v>60</v>
      </c>
      <c r="F1030" t="s">
        <v>61</v>
      </c>
      <c r="G1030" s="8" t="s">
        <v>202</v>
      </c>
      <c r="H1030" t="s">
        <v>205</v>
      </c>
      <c r="I1030" t="s">
        <v>222</v>
      </c>
      <c r="J1030" t="s">
        <v>227</v>
      </c>
      <c r="K1030" s="8" t="s">
        <v>41</v>
      </c>
      <c r="L1030" t="s">
        <v>222</v>
      </c>
      <c r="O1030">
        <v>0</v>
      </c>
      <c r="P1030">
        <v>0</v>
      </c>
      <c r="Q1030">
        <v>0</v>
      </c>
      <c r="R1030">
        <v>1</v>
      </c>
      <c r="S1030">
        <v>0</v>
      </c>
      <c r="T1030">
        <v>0</v>
      </c>
      <c r="U1030">
        <v>0</v>
      </c>
      <c r="V1030">
        <v>0</v>
      </c>
      <c r="W1030">
        <v>0</v>
      </c>
      <c r="X1030">
        <v>0</v>
      </c>
      <c r="Y1030">
        <v>0</v>
      </c>
      <c r="AA1030" s="12" t="s">
        <v>755</v>
      </c>
      <c r="AB1030" s="20" t="s">
        <v>756</v>
      </c>
      <c r="AC1030" t="s">
        <v>761</v>
      </c>
      <c r="AD1030" t="s">
        <v>762</v>
      </c>
    </row>
    <row r="1031" spans="1:30">
      <c r="A1031" s="8">
        <v>2021</v>
      </c>
      <c r="B1031" s="8">
        <v>280</v>
      </c>
      <c r="D1031" s="8" t="s">
        <v>60</v>
      </c>
      <c r="F1031" t="s">
        <v>61</v>
      </c>
      <c r="G1031" s="8" t="s">
        <v>193</v>
      </c>
      <c r="H1031" t="s">
        <v>185</v>
      </c>
      <c r="I1031" t="s">
        <v>222</v>
      </c>
      <c r="J1031" t="s">
        <v>227</v>
      </c>
      <c r="K1031" s="8" t="s">
        <v>41</v>
      </c>
      <c r="L1031" t="s">
        <v>222</v>
      </c>
      <c r="O1031">
        <v>0</v>
      </c>
      <c r="P1031">
        <v>0</v>
      </c>
      <c r="Q1031">
        <v>0</v>
      </c>
      <c r="R1031">
        <v>1</v>
      </c>
      <c r="S1031">
        <v>0</v>
      </c>
      <c r="T1031">
        <v>0</v>
      </c>
      <c r="U1031">
        <v>0</v>
      </c>
      <c r="V1031">
        <v>0</v>
      </c>
      <c r="W1031">
        <v>0</v>
      </c>
      <c r="X1031">
        <v>0</v>
      </c>
      <c r="Y1031">
        <v>0</v>
      </c>
      <c r="AA1031" s="12" t="s">
        <v>755</v>
      </c>
      <c r="AB1031" s="12" t="s">
        <v>756</v>
      </c>
      <c r="AC1031" t="s">
        <v>761</v>
      </c>
      <c r="AD1031" t="s">
        <v>762</v>
      </c>
    </row>
    <row r="1032" spans="1:30">
      <c r="A1032" s="8">
        <v>2021</v>
      </c>
      <c r="B1032" s="8">
        <v>281</v>
      </c>
      <c r="D1032" s="8" t="s">
        <v>60</v>
      </c>
      <c r="F1032" t="s">
        <v>61</v>
      </c>
      <c r="G1032" s="8" t="s">
        <v>18</v>
      </c>
      <c r="H1032" t="s">
        <v>19</v>
      </c>
      <c r="I1032" t="s">
        <v>18</v>
      </c>
      <c r="J1032" t="s">
        <v>19</v>
      </c>
      <c r="K1032" s="8" t="s">
        <v>41</v>
      </c>
      <c r="L1032" t="s">
        <v>18</v>
      </c>
      <c r="O1032">
        <v>0</v>
      </c>
      <c r="P1032">
        <v>0</v>
      </c>
      <c r="Q1032">
        <v>1</v>
      </c>
      <c r="R1032">
        <v>1</v>
      </c>
      <c r="S1032">
        <v>0</v>
      </c>
      <c r="T1032">
        <v>0</v>
      </c>
      <c r="U1032">
        <v>0</v>
      </c>
      <c r="V1032">
        <v>0</v>
      </c>
      <c r="W1032">
        <v>0</v>
      </c>
      <c r="X1032">
        <v>0</v>
      </c>
      <c r="Y1032">
        <v>0</v>
      </c>
      <c r="AA1032" t="s">
        <v>767</v>
      </c>
      <c r="AB1032" t="s">
        <v>768</v>
      </c>
      <c r="AD1032" t="s">
        <v>771</v>
      </c>
    </row>
    <row r="1033" spans="1:30">
      <c r="A1033" s="8">
        <v>2021</v>
      </c>
      <c r="B1033" s="8">
        <v>282</v>
      </c>
      <c r="D1033" s="8" t="s">
        <v>60</v>
      </c>
      <c r="F1033" t="s">
        <v>61</v>
      </c>
      <c r="G1033" s="8" t="s">
        <v>609</v>
      </c>
      <c r="I1033" t="s">
        <v>60</v>
      </c>
      <c r="J1033" t="s">
        <v>61</v>
      </c>
      <c r="K1033" s="8" t="s">
        <v>41</v>
      </c>
      <c r="L1033" t="s">
        <v>609</v>
      </c>
      <c r="O1033">
        <v>0</v>
      </c>
      <c r="P1033">
        <v>0</v>
      </c>
      <c r="Q1033">
        <v>0</v>
      </c>
      <c r="R1033">
        <v>0</v>
      </c>
      <c r="S1033">
        <v>0</v>
      </c>
      <c r="T1033">
        <v>0</v>
      </c>
      <c r="U1033">
        <v>1</v>
      </c>
      <c r="V1033">
        <v>1</v>
      </c>
      <c r="W1033">
        <v>1</v>
      </c>
      <c r="X1033">
        <v>0</v>
      </c>
      <c r="Y1033">
        <v>0</v>
      </c>
      <c r="Z1033" t="s">
        <v>773</v>
      </c>
      <c r="AA1033" t="s">
        <v>772</v>
      </c>
      <c r="AB1033" t="s">
        <v>774</v>
      </c>
      <c r="AC1033" t="s">
        <v>775</v>
      </c>
    </row>
    <row r="1034" spans="1:30">
      <c r="A1034" s="8">
        <v>2021</v>
      </c>
      <c r="B1034" s="8">
        <v>282</v>
      </c>
      <c r="D1034" s="8" t="s">
        <v>60</v>
      </c>
      <c r="F1034" t="s">
        <v>61</v>
      </c>
      <c r="G1034" s="8" t="s">
        <v>37</v>
      </c>
      <c r="I1034" t="s">
        <v>60</v>
      </c>
      <c r="J1034" t="s">
        <v>61</v>
      </c>
      <c r="K1034" s="8" t="s">
        <v>41</v>
      </c>
      <c r="L1034" t="s">
        <v>609</v>
      </c>
      <c r="O1034">
        <v>0</v>
      </c>
      <c r="P1034">
        <v>0</v>
      </c>
      <c r="Q1034">
        <v>0</v>
      </c>
      <c r="R1034">
        <v>0</v>
      </c>
      <c r="S1034">
        <v>0</v>
      </c>
      <c r="T1034">
        <v>0</v>
      </c>
      <c r="U1034">
        <v>1</v>
      </c>
      <c r="V1034">
        <v>1</v>
      </c>
      <c r="W1034">
        <v>1</v>
      </c>
      <c r="X1034">
        <v>0</v>
      </c>
      <c r="Y1034">
        <v>0</v>
      </c>
      <c r="Z1034" t="s">
        <v>773</v>
      </c>
      <c r="AA1034" t="s">
        <v>772</v>
      </c>
      <c r="AB1034" t="s">
        <v>774</v>
      </c>
      <c r="AC1034" t="s">
        <v>776</v>
      </c>
    </row>
    <row r="1035" spans="1:30">
      <c r="A1035" s="8">
        <v>2021</v>
      </c>
      <c r="B1035" s="8">
        <v>283</v>
      </c>
      <c r="D1035" s="8" t="s">
        <v>60</v>
      </c>
      <c r="E1035" t="s">
        <v>209</v>
      </c>
      <c r="F1035" t="s">
        <v>61</v>
      </c>
      <c r="G1035" s="8" t="s">
        <v>37</v>
      </c>
      <c r="I1035" t="s">
        <v>60</v>
      </c>
      <c r="J1035" t="s">
        <v>61</v>
      </c>
      <c r="K1035" s="8" t="s">
        <v>41</v>
      </c>
      <c r="L1035" t="s">
        <v>37</v>
      </c>
      <c r="O1035">
        <v>0</v>
      </c>
      <c r="P1035">
        <v>0</v>
      </c>
      <c r="Q1035">
        <v>0</v>
      </c>
      <c r="R1035">
        <v>1</v>
      </c>
      <c r="S1035">
        <v>0</v>
      </c>
      <c r="T1035">
        <v>0</v>
      </c>
      <c r="U1035">
        <v>0</v>
      </c>
      <c r="V1035">
        <v>0</v>
      </c>
      <c r="W1035">
        <v>0</v>
      </c>
      <c r="X1035">
        <v>0</v>
      </c>
      <c r="Y1035">
        <v>0</v>
      </c>
      <c r="AA1035" t="s">
        <v>777</v>
      </c>
      <c r="AB1035" t="s">
        <v>778</v>
      </c>
    </row>
    <row r="1036" spans="1:30">
      <c r="A1036" s="8">
        <v>2021</v>
      </c>
      <c r="B1036" s="8">
        <v>284</v>
      </c>
      <c r="D1036" s="8" t="s">
        <v>60</v>
      </c>
      <c r="E1036" s="12" t="s">
        <v>1076</v>
      </c>
      <c r="F1036" t="s">
        <v>61</v>
      </c>
      <c r="G1036" s="8" t="s">
        <v>37</v>
      </c>
      <c r="I1036" t="s">
        <v>60</v>
      </c>
      <c r="J1036" t="s">
        <v>61</v>
      </c>
      <c r="K1036" s="8" t="s">
        <v>41</v>
      </c>
      <c r="L1036" t="s">
        <v>37</v>
      </c>
      <c r="M1036" t="s">
        <v>1194</v>
      </c>
      <c r="O1036">
        <v>1</v>
      </c>
      <c r="P1036">
        <v>0</v>
      </c>
      <c r="Q1036">
        <v>0</v>
      </c>
      <c r="R1036">
        <v>0</v>
      </c>
      <c r="S1036">
        <v>0</v>
      </c>
      <c r="T1036">
        <v>0</v>
      </c>
      <c r="U1036">
        <v>0</v>
      </c>
      <c r="V1036">
        <v>0</v>
      </c>
      <c r="W1036">
        <v>0</v>
      </c>
      <c r="X1036">
        <v>0</v>
      </c>
      <c r="Y1036">
        <v>0</v>
      </c>
      <c r="AA1036" t="s">
        <v>779</v>
      </c>
      <c r="AB1036" t="s">
        <v>780</v>
      </c>
    </row>
    <row r="1037" spans="1:30">
      <c r="A1037" s="8">
        <v>2021</v>
      </c>
      <c r="B1037" s="8">
        <v>284</v>
      </c>
      <c r="D1037" s="8" t="s">
        <v>60</v>
      </c>
      <c r="E1037" s="12" t="s">
        <v>1076</v>
      </c>
      <c r="F1037" t="s">
        <v>61</v>
      </c>
      <c r="G1037" s="8" t="s">
        <v>203</v>
      </c>
      <c r="H1037" t="s">
        <v>206</v>
      </c>
      <c r="I1037" t="s">
        <v>60</v>
      </c>
      <c r="J1037" t="s">
        <v>61</v>
      </c>
      <c r="K1037" s="8" t="s">
        <v>41</v>
      </c>
      <c r="L1037" t="s">
        <v>37</v>
      </c>
      <c r="M1037" t="s">
        <v>1194</v>
      </c>
      <c r="O1037">
        <v>1</v>
      </c>
      <c r="P1037">
        <v>0</v>
      </c>
      <c r="Q1037">
        <v>0</v>
      </c>
      <c r="R1037">
        <v>0</v>
      </c>
      <c r="S1037">
        <v>0</v>
      </c>
      <c r="T1037">
        <v>0</v>
      </c>
      <c r="U1037">
        <v>0</v>
      </c>
      <c r="V1037">
        <v>0</v>
      </c>
      <c r="W1037">
        <v>0</v>
      </c>
      <c r="X1037">
        <v>0</v>
      </c>
      <c r="Y1037">
        <v>0</v>
      </c>
      <c r="AA1037" t="s">
        <v>779</v>
      </c>
      <c r="AB1037" t="s">
        <v>780</v>
      </c>
    </row>
    <row r="1038" spans="1:30">
      <c r="A1038" s="8">
        <v>2021</v>
      </c>
      <c r="B1038" s="8">
        <v>284</v>
      </c>
      <c r="D1038" s="8" t="s">
        <v>60</v>
      </c>
      <c r="E1038" s="12" t="s">
        <v>1076</v>
      </c>
      <c r="F1038" t="s">
        <v>61</v>
      </c>
      <c r="G1038" s="8" t="s">
        <v>202</v>
      </c>
      <c r="H1038" t="s">
        <v>205</v>
      </c>
      <c r="I1038" t="s">
        <v>60</v>
      </c>
      <c r="J1038" t="s">
        <v>61</v>
      </c>
      <c r="K1038" s="8" t="s">
        <v>41</v>
      </c>
      <c r="L1038" t="s">
        <v>37</v>
      </c>
      <c r="M1038" t="s">
        <v>1194</v>
      </c>
      <c r="O1038">
        <v>1</v>
      </c>
      <c r="P1038">
        <v>0</v>
      </c>
      <c r="Q1038">
        <v>0</v>
      </c>
      <c r="R1038">
        <v>0</v>
      </c>
      <c r="S1038">
        <v>0</v>
      </c>
      <c r="T1038">
        <v>0</v>
      </c>
      <c r="U1038">
        <v>0</v>
      </c>
      <c r="V1038">
        <v>0</v>
      </c>
      <c r="W1038">
        <v>0</v>
      </c>
      <c r="X1038">
        <v>0</v>
      </c>
      <c r="Y1038">
        <v>0</v>
      </c>
      <c r="AA1038" t="s">
        <v>779</v>
      </c>
      <c r="AB1038" t="s">
        <v>780</v>
      </c>
    </row>
    <row r="1039" spans="1:30">
      <c r="A1039" s="8">
        <v>2021</v>
      </c>
      <c r="B1039" s="8">
        <v>284</v>
      </c>
      <c r="D1039" s="8" t="s">
        <v>60</v>
      </c>
      <c r="E1039" s="12" t="s">
        <v>1076</v>
      </c>
      <c r="F1039" t="s">
        <v>61</v>
      </c>
      <c r="G1039" s="8" t="s">
        <v>193</v>
      </c>
      <c r="H1039" t="s">
        <v>185</v>
      </c>
      <c r="I1039" t="s">
        <v>60</v>
      </c>
      <c r="J1039" t="s">
        <v>61</v>
      </c>
      <c r="K1039" s="8" t="s">
        <v>41</v>
      </c>
      <c r="L1039" t="s">
        <v>37</v>
      </c>
      <c r="M1039" t="s">
        <v>1194</v>
      </c>
      <c r="O1039">
        <v>1</v>
      </c>
      <c r="P1039">
        <v>0</v>
      </c>
      <c r="Q1039">
        <v>0</v>
      </c>
      <c r="R1039">
        <v>0</v>
      </c>
      <c r="S1039">
        <v>0</v>
      </c>
      <c r="T1039">
        <v>0</v>
      </c>
      <c r="U1039">
        <v>0</v>
      </c>
      <c r="V1039">
        <v>0</v>
      </c>
      <c r="W1039">
        <v>0</v>
      </c>
      <c r="X1039">
        <v>0</v>
      </c>
      <c r="Y1039">
        <v>0</v>
      </c>
      <c r="AA1039" t="s">
        <v>779</v>
      </c>
      <c r="AB1039" t="s">
        <v>780</v>
      </c>
    </row>
    <row r="1040" spans="1:30">
      <c r="A1040" s="8">
        <v>2021</v>
      </c>
      <c r="B1040" s="8">
        <v>285</v>
      </c>
      <c r="D1040" s="8" t="s">
        <v>60</v>
      </c>
      <c r="E1040" t="s">
        <v>209</v>
      </c>
      <c r="F1040" t="s">
        <v>61</v>
      </c>
      <c r="G1040" s="8" t="s">
        <v>37</v>
      </c>
      <c r="I1040" t="s">
        <v>60</v>
      </c>
      <c r="J1040" t="s">
        <v>61</v>
      </c>
      <c r="K1040" s="8" t="s">
        <v>41</v>
      </c>
      <c r="L1040" t="s">
        <v>37</v>
      </c>
      <c r="O1040">
        <v>1</v>
      </c>
      <c r="P1040">
        <v>0</v>
      </c>
      <c r="Q1040">
        <v>0</v>
      </c>
      <c r="R1040">
        <v>0</v>
      </c>
      <c r="S1040">
        <v>0</v>
      </c>
      <c r="T1040">
        <v>0</v>
      </c>
      <c r="U1040">
        <v>0</v>
      </c>
      <c r="V1040">
        <v>0</v>
      </c>
      <c r="W1040">
        <v>0</v>
      </c>
      <c r="X1040">
        <v>0</v>
      </c>
      <c r="Y1040">
        <v>0</v>
      </c>
      <c r="AA1040" t="s">
        <v>781</v>
      </c>
      <c r="AB1040" t="s">
        <v>782</v>
      </c>
    </row>
    <row r="1041" spans="1:38">
      <c r="A1041" s="8">
        <v>2021</v>
      </c>
      <c r="B1041" s="8">
        <v>286</v>
      </c>
      <c r="D1041" s="8" t="s">
        <v>60</v>
      </c>
      <c r="F1041" t="s">
        <v>61</v>
      </c>
      <c r="G1041" s="8" t="s">
        <v>222</v>
      </c>
      <c r="H1041" t="s">
        <v>227</v>
      </c>
      <c r="K1041" s="8" t="s">
        <v>41</v>
      </c>
      <c r="L1041" t="s">
        <v>783</v>
      </c>
      <c r="O1041">
        <v>0</v>
      </c>
      <c r="P1041">
        <v>0</v>
      </c>
      <c r="Q1041">
        <v>0</v>
      </c>
      <c r="R1041">
        <v>0</v>
      </c>
      <c r="S1041">
        <v>1</v>
      </c>
      <c r="T1041">
        <v>0</v>
      </c>
      <c r="U1041">
        <v>0</v>
      </c>
      <c r="V1041">
        <v>0</v>
      </c>
      <c r="W1041">
        <v>0</v>
      </c>
      <c r="X1041">
        <v>0</v>
      </c>
      <c r="Y1041">
        <v>0</v>
      </c>
      <c r="AA1041" t="s">
        <v>784</v>
      </c>
      <c r="AB1041" t="s">
        <v>785</v>
      </c>
    </row>
    <row r="1042" spans="1:38">
      <c r="A1042" s="8">
        <v>2021</v>
      </c>
      <c r="B1042" s="8">
        <v>286</v>
      </c>
      <c r="D1042" s="8" t="s">
        <v>60</v>
      </c>
      <c r="F1042" t="s">
        <v>61</v>
      </c>
      <c r="G1042" s="8" t="s">
        <v>223</v>
      </c>
      <c r="H1042" t="s">
        <v>228</v>
      </c>
      <c r="K1042" s="8" t="s">
        <v>41</v>
      </c>
      <c r="L1042" t="s">
        <v>783</v>
      </c>
      <c r="O1042">
        <v>0</v>
      </c>
      <c r="P1042">
        <v>0</v>
      </c>
      <c r="Q1042">
        <v>0</v>
      </c>
      <c r="R1042">
        <v>0</v>
      </c>
      <c r="S1042">
        <v>1</v>
      </c>
      <c r="T1042">
        <v>0</v>
      </c>
      <c r="U1042">
        <v>0</v>
      </c>
      <c r="V1042">
        <v>0</v>
      </c>
      <c r="W1042">
        <v>0</v>
      </c>
      <c r="X1042">
        <v>0</v>
      </c>
      <c r="Y1042">
        <v>0</v>
      </c>
      <c r="AA1042" t="s">
        <v>784</v>
      </c>
      <c r="AB1042" t="s">
        <v>785</v>
      </c>
    </row>
    <row r="1043" spans="1:38">
      <c r="A1043" s="8">
        <v>2021</v>
      </c>
      <c r="B1043" s="8">
        <v>286</v>
      </c>
      <c r="D1043" s="8" t="s">
        <v>60</v>
      </c>
      <c r="F1043" t="s">
        <v>61</v>
      </c>
      <c r="G1043" s="8" t="s">
        <v>203</v>
      </c>
      <c r="H1043" t="s">
        <v>206</v>
      </c>
      <c r="K1043" s="8" t="s">
        <v>41</v>
      </c>
      <c r="L1043" t="s">
        <v>783</v>
      </c>
      <c r="O1043">
        <v>0</v>
      </c>
      <c r="P1043">
        <v>0</v>
      </c>
      <c r="Q1043">
        <v>0</v>
      </c>
      <c r="R1043">
        <v>0</v>
      </c>
      <c r="S1043">
        <v>1</v>
      </c>
      <c r="T1043">
        <v>0</v>
      </c>
      <c r="U1043">
        <v>0</v>
      </c>
      <c r="V1043">
        <v>0</v>
      </c>
      <c r="W1043">
        <v>0</v>
      </c>
      <c r="X1043">
        <v>0</v>
      </c>
      <c r="Y1043">
        <v>0</v>
      </c>
      <c r="AA1043" t="s">
        <v>784</v>
      </c>
      <c r="AB1043" t="s">
        <v>785</v>
      </c>
    </row>
    <row r="1044" spans="1:38">
      <c r="A1044" s="8">
        <v>2021</v>
      </c>
      <c r="B1044" s="8">
        <v>286</v>
      </c>
      <c r="D1044" s="8" t="s">
        <v>60</v>
      </c>
      <c r="F1044" t="s">
        <v>61</v>
      </c>
      <c r="G1044" s="8" t="s">
        <v>155</v>
      </c>
      <c r="H1044" t="s">
        <v>188</v>
      </c>
      <c r="K1044" s="8" t="s">
        <v>41</v>
      </c>
      <c r="L1044" t="s">
        <v>783</v>
      </c>
      <c r="O1044">
        <v>0</v>
      </c>
      <c r="P1044">
        <v>0</v>
      </c>
      <c r="Q1044">
        <v>0</v>
      </c>
      <c r="R1044">
        <v>0</v>
      </c>
      <c r="S1044">
        <v>1</v>
      </c>
      <c r="T1044">
        <v>0</v>
      </c>
      <c r="U1044">
        <v>0</v>
      </c>
      <c r="V1044">
        <v>0</v>
      </c>
      <c r="W1044">
        <v>0</v>
      </c>
      <c r="X1044">
        <v>0</v>
      </c>
      <c r="Y1044">
        <v>0</v>
      </c>
      <c r="AA1044" t="s">
        <v>784</v>
      </c>
      <c r="AB1044" t="s">
        <v>785</v>
      </c>
    </row>
    <row r="1045" spans="1:38">
      <c r="A1045" s="8">
        <v>2021</v>
      </c>
      <c r="B1045" s="8">
        <v>286</v>
      </c>
      <c r="D1045" s="8" t="s">
        <v>60</v>
      </c>
      <c r="F1045" t="s">
        <v>61</v>
      </c>
      <c r="G1045" s="8" t="s">
        <v>567</v>
      </c>
      <c r="H1045" t="s">
        <v>568</v>
      </c>
      <c r="K1045" s="8" t="s">
        <v>41</v>
      </c>
      <c r="L1045" t="s">
        <v>783</v>
      </c>
      <c r="O1045">
        <v>0</v>
      </c>
      <c r="P1045">
        <v>0</v>
      </c>
      <c r="Q1045">
        <v>0</v>
      </c>
      <c r="R1045">
        <v>0</v>
      </c>
      <c r="S1045">
        <v>1</v>
      </c>
      <c r="T1045">
        <v>0</v>
      </c>
      <c r="U1045">
        <v>0</v>
      </c>
      <c r="V1045">
        <v>0</v>
      </c>
      <c r="W1045">
        <v>0</v>
      </c>
      <c r="X1045">
        <v>0</v>
      </c>
      <c r="Y1045">
        <v>0</v>
      </c>
      <c r="AA1045" t="s">
        <v>784</v>
      </c>
      <c r="AB1045" t="s">
        <v>785</v>
      </c>
    </row>
    <row r="1046" spans="1:38">
      <c r="A1046" s="8">
        <v>2021</v>
      </c>
      <c r="B1046" s="8">
        <v>286</v>
      </c>
      <c r="D1046" s="8" t="s">
        <v>60</v>
      </c>
      <c r="F1046" t="s">
        <v>61</v>
      </c>
      <c r="G1046" s="8" t="s">
        <v>615</v>
      </c>
      <c r="H1046" t="s">
        <v>620</v>
      </c>
      <c r="K1046" s="8" t="s">
        <v>41</v>
      </c>
      <c r="L1046" t="s">
        <v>783</v>
      </c>
      <c r="O1046">
        <v>0</v>
      </c>
      <c r="P1046">
        <v>0</v>
      </c>
      <c r="Q1046">
        <v>0</v>
      </c>
      <c r="R1046">
        <v>0</v>
      </c>
      <c r="S1046">
        <v>1</v>
      </c>
      <c r="T1046">
        <v>0</v>
      </c>
      <c r="U1046">
        <v>0</v>
      </c>
      <c r="V1046">
        <v>0</v>
      </c>
      <c r="W1046">
        <v>0</v>
      </c>
      <c r="X1046">
        <v>0</v>
      </c>
      <c r="Y1046">
        <v>0</v>
      </c>
      <c r="AA1046" t="s">
        <v>784</v>
      </c>
      <c r="AB1046" t="s">
        <v>785</v>
      </c>
    </row>
    <row r="1047" spans="1:38">
      <c r="A1047" s="8">
        <v>2021</v>
      </c>
      <c r="B1047" s="8">
        <v>286</v>
      </c>
      <c r="D1047" s="8" t="s">
        <v>60</v>
      </c>
      <c r="F1047" t="s">
        <v>61</v>
      </c>
      <c r="G1047" s="8" t="s">
        <v>202</v>
      </c>
      <c r="H1047" t="s">
        <v>205</v>
      </c>
      <c r="K1047" s="8" t="s">
        <v>41</v>
      </c>
      <c r="L1047" t="s">
        <v>783</v>
      </c>
      <c r="O1047">
        <v>0</v>
      </c>
      <c r="P1047">
        <v>0</v>
      </c>
      <c r="Q1047">
        <v>0</v>
      </c>
      <c r="R1047">
        <v>0</v>
      </c>
      <c r="S1047">
        <v>1</v>
      </c>
      <c r="T1047">
        <v>0</v>
      </c>
      <c r="U1047">
        <v>0</v>
      </c>
      <c r="V1047">
        <v>0</v>
      </c>
      <c r="W1047">
        <v>0</v>
      </c>
      <c r="X1047">
        <v>0</v>
      </c>
      <c r="Y1047">
        <v>0</v>
      </c>
      <c r="AA1047" t="s">
        <v>784</v>
      </c>
      <c r="AB1047" t="s">
        <v>785</v>
      </c>
    </row>
    <row r="1048" spans="1:38">
      <c r="A1048" s="8">
        <v>2021</v>
      </c>
      <c r="B1048" s="8">
        <v>286</v>
      </c>
      <c r="D1048" s="8" t="s">
        <v>60</v>
      </c>
      <c r="F1048" t="s">
        <v>61</v>
      </c>
      <c r="G1048" s="8" t="s">
        <v>193</v>
      </c>
      <c r="H1048" t="s">
        <v>185</v>
      </c>
      <c r="K1048" s="8" t="s">
        <v>41</v>
      </c>
      <c r="L1048" t="s">
        <v>783</v>
      </c>
      <c r="O1048">
        <v>0</v>
      </c>
      <c r="P1048">
        <v>0</v>
      </c>
      <c r="Q1048">
        <v>0</v>
      </c>
      <c r="R1048">
        <v>0</v>
      </c>
      <c r="S1048">
        <v>1</v>
      </c>
      <c r="T1048">
        <v>0</v>
      </c>
      <c r="U1048">
        <v>0</v>
      </c>
      <c r="V1048">
        <v>0</v>
      </c>
      <c r="W1048">
        <v>0</v>
      </c>
      <c r="X1048">
        <v>0</v>
      </c>
      <c r="Y1048">
        <v>0</v>
      </c>
      <c r="AA1048" t="s">
        <v>784</v>
      </c>
      <c r="AB1048" t="s">
        <v>785</v>
      </c>
    </row>
    <row r="1049" spans="1:38">
      <c r="A1049" s="8">
        <v>2021</v>
      </c>
      <c r="B1049" s="8">
        <v>286</v>
      </c>
      <c r="D1049" s="8" t="s">
        <v>60</v>
      </c>
      <c r="F1049" t="s">
        <v>61</v>
      </c>
      <c r="G1049" s="8" t="s">
        <v>161</v>
      </c>
      <c r="K1049" s="8" t="s">
        <v>41</v>
      </c>
      <c r="L1049" t="s">
        <v>783</v>
      </c>
      <c r="O1049">
        <v>0</v>
      </c>
      <c r="P1049">
        <v>0</v>
      </c>
      <c r="Q1049">
        <v>0</v>
      </c>
      <c r="R1049">
        <v>0</v>
      </c>
      <c r="S1049">
        <v>1</v>
      </c>
      <c r="T1049">
        <v>0</v>
      </c>
      <c r="U1049">
        <v>0</v>
      </c>
      <c r="V1049">
        <v>0</v>
      </c>
      <c r="W1049">
        <v>0</v>
      </c>
      <c r="X1049">
        <v>0</v>
      </c>
      <c r="Y1049">
        <v>0</v>
      </c>
      <c r="AA1049" t="s">
        <v>784</v>
      </c>
      <c r="AB1049" t="s">
        <v>785</v>
      </c>
    </row>
    <row r="1050" spans="1:38">
      <c r="A1050" s="8">
        <v>2021</v>
      </c>
      <c r="B1050" s="8">
        <v>286</v>
      </c>
      <c r="D1050" s="8" t="s">
        <v>60</v>
      </c>
      <c r="F1050" t="s">
        <v>61</v>
      </c>
      <c r="G1050" s="8" t="s">
        <v>37</v>
      </c>
      <c r="K1050" s="8" t="s">
        <v>41</v>
      </c>
      <c r="L1050" t="s">
        <v>783</v>
      </c>
      <c r="O1050">
        <v>0</v>
      </c>
      <c r="P1050">
        <v>0</v>
      </c>
      <c r="Q1050">
        <v>0</v>
      </c>
      <c r="R1050">
        <v>0</v>
      </c>
      <c r="S1050">
        <v>1</v>
      </c>
      <c r="T1050">
        <v>0</v>
      </c>
      <c r="U1050">
        <v>0</v>
      </c>
      <c r="V1050">
        <v>0</v>
      </c>
      <c r="W1050">
        <v>0</v>
      </c>
      <c r="X1050">
        <v>0</v>
      </c>
      <c r="Y1050">
        <v>0</v>
      </c>
      <c r="AA1050" t="s">
        <v>784</v>
      </c>
      <c r="AB1050" t="s">
        <v>785</v>
      </c>
    </row>
    <row r="1051" spans="1:38">
      <c r="A1051" s="8">
        <v>2021</v>
      </c>
      <c r="B1051" s="8">
        <v>287</v>
      </c>
      <c r="D1051" s="8" t="s">
        <v>60</v>
      </c>
      <c r="E1051" t="s">
        <v>28</v>
      </c>
      <c r="F1051" t="s">
        <v>61</v>
      </c>
      <c r="G1051" s="8" t="s">
        <v>37</v>
      </c>
      <c r="I1051" t="s">
        <v>60</v>
      </c>
      <c r="J1051" t="s">
        <v>61</v>
      </c>
      <c r="K1051" s="8" t="s">
        <v>41</v>
      </c>
      <c r="L1051" t="s">
        <v>37</v>
      </c>
      <c r="O1051">
        <v>1</v>
      </c>
      <c r="P1051">
        <v>0</v>
      </c>
      <c r="Q1051">
        <v>1</v>
      </c>
      <c r="R1051">
        <v>0</v>
      </c>
      <c r="S1051">
        <v>0</v>
      </c>
      <c r="T1051">
        <v>0</v>
      </c>
      <c r="U1051">
        <v>0</v>
      </c>
      <c r="V1051">
        <v>0</v>
      </c>
      <c r="W1051">
        <v>0</v>
      </c>
      <c r="X1051">
        <v>0</v>
      </c>
      <c r="Y1051">
        <v>0</v>
      </c>
      <c r="AA1051" t="s">
        <v>786</v>
      </c>
      <c r="AB1051" t="s">
        <v>787</v>
      </c>
    </row>
    <row r="1052" spans="1:38">
      <c r="A1052" s="8">
        <v>2021</v>
      </c>
      <c r="B1052" s="8">
        <v>288</v>
      </c>
      <c r="D1052" s="8" t="s">
        <v>60</v>
      </c>
      <c r="F1052" t="s">
        <v>61</v>
      </c>
      <c r="G1052" s="8" t="s">
        <v>37</v>
      </c>
      <c r="I1052" t="s">
        <v>60</v>
      </c>
      <c r="J1052" t="s">
        <v>61</v>
      </c>
      <c r="K1052" s="8" t="s">
        <v>41</v>
      </c>
      <c r="L1052" t="s">
        <v>37</v>
      </c>
      <c r="O1052">
        <v>1</v>
      </c>
      <c r="P1052">
        <v>0</v>
      </c>
      <c r="Q1052">
        <v>1</v>
      </c>
      <c r="R1052">
        <v>0</v>
      </c>
      <c r="S1052">
        <v>0</v>
      </c>
      <c r="T1052">
        <v>0</v>
      </c>
      <c r="U1052">
        <v>0</v>
      </c>
      <c r="V1052">
        <v>0</v>
      </c>
      <c r="W1052">
        <v>0</v>
      </c>
      <c r="X1052">
        <v>0</v>
      </c>
      <c r="Y1052">
        <v>0</v>
      </c>
      <c r="AA1052" t="s">
        <v>788</v>
      </c>
      <c r="AB1052" t="s">
        <v>789</v>
      </c>
      <c r="AD1052" t="s">
        <v>790</v>
      </c>
      <c r="AE1052" t="s">
        <v>792</v>
      </c>
      <c r="AF1052" t="s">
        <v>791</v>
      </c>
      <c r="AG1052" t="s">
        <v>793</v>
      </c>
      <c r="AH1052" t="s">
        <v>794</v>
      </c>
      <c r="AJ1052" t="s">
        <v>795</v>
      </c>
      <c r="AK1052" t="s">
        <v>796</v>
      </c>
      <c r="AL1052" t="s">
        <v>797</v>
      </c>
    </row>
    <row r="1053" spans="1:38">
      <c r="A1053" s="8">
        <v>2021</v>
      </c>
      <c r="B1053" s="8">
        <v>289</v>
      </c>
      <c r="D1053" s="8" t="s">
        <v>60</v>
      </c>
      <c r="F1053" t="s">
        <v>61</v>
      </c>
      <c r="G1053" s="8" t="s">
        <v>26</v>
      </c>
      <c r="I1053" t="s">
        <v>60</v>
      </c>
      <c r="J1053" t="s">
        <v>61</v>
      </c>
      <c r="K1053" s="8" t="s">
        <v>41</v>
      </c>
      <c r="L1053" t="s">
        <v>37</v>
      </c>
      <c r="O1053">
        <v>1</v>
      </c>
      <c r="P1053">
        <v>0</v>
      </c>
      <c r="Q1053">
        <v>1</v>
      </c>
      <c r="R1053">
        <v>0</v>
      </c>
      <c r="S1053">
        <v>0</v>
      </c>
      <c r="T1053">
        <v>0</v>
      </c>
      <c r="U1053">
        <v>0</v>
      </c>
      <c r="V1053">
        <v>0</v>
      </c>
      <c r="W1053">
        <v>0</v>
      </c>
      <c r="X1053">
        <v>0</v>
      </c>
      <c r="Y1053">
        <v>0</v>
      </c>
      <c r="AA1053" t="s">
        <v>798</v>
      </c>
      <c r="AB1053" t="s">
        <v>799</v>
      </c>
      <c r="AC1053" t="s">
        <v>814</v>
      </c>
      <c r="AD1053" t="s">
        <v>815</v>
      </c>
    </row>
    <row r="1054" spans="1:38">
      <c r="A1054" s="8">
        <v>2021</v>
      </c>
      <c r="B1054" s="8">
        <v>290</v>
      </c>
      <c r="D1054" s="8" t="s">
        <v>18</v>
      </c>
      <c r="F1054" t="s">
        <v>19</v>
      </c>
      <c r="G1054" s="8" t="s">
        <v>973</v>
      </c>
      <c r="I1054" t="s">
        <v>18</v>
      </c>
      <c r="J1054" t="s">
        <v>19</v>
      </c>
      <c r="K1054" s="8" t="s">
        <v>201</v>
      </c>
      <c r="L1054" t="s">
        <v>973</v>
      </c>
      <c r="O1054">
        <v>1</v>
      </c>
      <c r="P1054">
        <v>1</v>
      </c>
      <c r="Q1054">
        <v>1</v>
      </c>
      <c r="R1054">
        <v>0</v>
      </c>
      <c r="S1054">
        <v>0</v>
      </c>
      <c r="T1054">
        <v>0</v>
      </c>
      <c r="U1054">
        <v>0</v>
      </c>
      <c r="V1054">
        <v>0</v>
      </c>
      <c r="W1054">
        <v>0</v>
      </c>
      <c r="X1054">
        <v>0</v>
      </c>
      <c r="Y1054">
        <v>0</v>
      </c>
      <c r="AA1054" t="s">
        <v>974</v>
      </c>
      <c r="AB1054" t="s">
        <v>975</v>
      </c>
    </row>
    <row r="1055" spans="1:38">
      <c r="A1055" s="8">
        <v>2021</v>
      </c>
      <c r="B1055" s="8">
        <v>291</v>
      </c>
      <c r="D1055" s="8" t="s">
        <v>18</v>
      </c>
      <c r="F1055" t="s">
        <v>19</v>
      </c>
      <c r="G1055" s="8" t="s">
        <v>37</v>
      </c>
      <c r="I1055" t="s">
        <v>18</v>
      </c>
      <c r="J1055" t="s">
        <v>19</v>
      </c>
      <c r="K1055" s="8" t="s">
        <v>41</v>
      </c>
      <c r="L1055" t="s">
        <v>37</v>
      </c>
      <c r="O1055">
        <v>1</v>
      </c>
      <c r="P1055">
        <v>1</v>
      </c>
      <c r="Q1055">
        <v>1</v>
      </c>
      <c r="R1055">
        <v>0</v>
      </c>
      <c r="S1055">
        <v>0</v>
      </c>
      <c r="T1055">
        <v>0</v>
      </c>
      <c r="U1055">
        <v>0</v>
      </c>
      <c r="V1055">
        <v>0</v>
      </c>
      <c r="W1055">
        <v>0</v>
      </c>
      <c r="X1055">
        <v>0</v>
      </c>
      <c r="Y1055">
        <v>0</v>
      </c>
      <c r="AA1055" t="s">
        <v>980</v>
      </c>
      <c r="AC1055" t="s">
        <v>978</v>
      </c>
      <c r="AD1055" t="s">
        <v>979</v>
      </c>
      <c r="AE1055" t="s">
        <v>976</v>
      </c>
      <c r="AF1055" t="s">
        <v>977</v>
      </c>
      <c r="AG1055" t="s">
        <v>981</v>
      </c>
      <c r="AH1055" t="s">
        <v>982</v>
      </c>
    </row>
    <row r="1056" spans="1:38">
      <c r="A1056" s="8">
        <v>2021</v>
      </c>
      <c r="B1056" s="8">
        <v>292</v>
      </c>
      <c r="D1056" s="8" t="s">
        <v>18</v>
      </c>
      <c r="F1056" t="s">
        <v>19</v>
      </c>
      <c r="G1056" s="8" t="s">
        <v>37</v>
      </c>
      <c r="I1056" t="s">
        <v>18</v>
      </c>
      <c r="J1056" t="s">
        <v>19</v>
      </c>
      <c r="K1056" s="8" t="s">
        <v>41</v>
      </c>
      <c r="L1056" t="s">
        <v>37</v>
      </c>
      <c r="O1056">
        <v>1</v>
      </c>
      <c r="P1056">
        <v>1</v>
      </c>
      <c r="Q1056">
        <v>1</v>
      </c>
      <c r="R1056">
        <v>0</v>
      </c>
      <c r="S1056">
        <v>0</v>
      </c>
      <c r="T1056">
        <v>0</v>
      </c>
      <c r="U1056">
        <v>0</v>
      </c>
      <c r="V1056">
        <v>0</v>
      </c>
      <c r="W1056">
        <v>0</v>
      </c>
      <c r="X1056">
        <v>0</v>
      </c>
      <c r="Y1056">
        <v>0</v>
      </c>
      <c r="AA1056" t="s">
        <v>983</v>
      </c>
      <c r="AB1056" t="s">
        <v>984</v>
      </c>
    </row>
    <row r="1057" spans="1:32">
      <c r="A1057" s="8">
        <v>2021</v>
      </c>
      <c r="B1057" s="8">
        <v>293</v>
      </c>
      <c r="D1057" s="8" t="s">
        <v>18</v>
      </c>
      <c r="F1057" t="s">
        <v>19</v>
      </c>
      <c r="G1057" s="8" t="s">
        <v>37</v>
      </c>
      <c r="I1057" t="s">
        <v>18</v>
      </c>
      <c r="J1057" t="s">
        <v>19</v>
      </c>
      <c r="K1057" s="8" t="s">
        <v>41</v>
      </c>
      <c r="L1057" t="s">
        <v>37</v>
      </c>
      <c r="O1057">
        <v>1</v>
      </c>
      <c r="P1057">
        <v>1</v>
      </c>
      <c r="Q1057">
        <v>1</v>
      </c>
      <c r="R1057">
        <v>0</v>
      </c>
      <c r="S1057">
        <v>1</v>
      </c>
      <c r="T1057">
        <v>0</v>
      </c>
      <c r="U1057">
        <v>0</v>
      </c>
      <c r="V1057">
        <v>0</v>
      </c>
      <c r="W1057">
        <v>0</v>
      </c>
      <c r="X1057">
        <v>0</v>
      </c>
      <c r="Y1057">
        <v>0</v>
      </c>
      <c r="AA1057" t="s">
        <v>985</v>
      </c>
      <c r="AB1057" t="s">
        <v>986</v>
      </c>
    </row>
    <row r="1058" spans="1:32">
      <c r="A1058" s="8">
        <v>2021</v>
      </c>
      <c r="B1058" s="8">
        <v>294</v>
      </c>
      <c r="D1058" s="8" t="s">
        <v>18</v>
      </c>
      <c r="F1058" t="s">
        <v>19</v>
      </c>
      <c r="G1058" s="8" t="s">
        <v>1131</v>
      </c>
      <c r="I1058" t="s">
        <v>18</v>
      </c>
      <c r="J1058" t="s">
        <v>19</v>
      </c>
      <c r="K1058" s="8" t="s">
        <v>25</v>
      </c>
      <c r="L1058" t="s">
        <v>1131</v>
      </c>
      <c r="O1058">
        <v>1</v>
      </c>
      <c r="P1058">
        <v>1</v>
      </c>
      <c r="Q1058">
        <v>0</v>
      </c>
      <c r="R1058">
        <v>0</v>
      </c>
      <c r="S1058">
        <v>0</v>
      </c>
      <c r="T1058">
        <v>0</v>
      </c>
      <c r="U1058">
        <v>0</v>
      </c>
      <c r="V1058">
        <v>0</v>
      </c>
      <c r="W1058">
        <v>0</v>
      </c>
      <c r="X1058">
        <v>0</v>
      </c>
      <c r="Y1058">
        <v>0</v>
      </c>
      <c r="AA1058" t="s">
        <v>987</v>
      </c>
      <c r="AB1058" t="s">
        <v>988</v>
      </c>
      <c r="AC1058" t="s">
        <v>1000</v>
      </c>
      <c r="AD1058" t="s">
        <v>998</v>
      </c>
    </row>
    <row r="1059" spans="1:32">
      <c r="A1059" s="8">
        <v>2021</v>
      </c>
      <c r="B1059" s="8">
        <v>295</v>
      </c>
      <c r="D1059" s="8" t="s">
        <v>18</v>
      </c>
      <c r="F1059" t="s">
        <v>19</v>
      </c>
      <c r="G1059" s="8" t="s">
        <v>35</v>
      </c>
      <c r="I1059" t="s">
        <v>18</v>
      </c>
      <c r="J1059" t="s">
        <v>19</v>
      </c>
      <c r="K1059" s="8" t="s">
        <v>41</v>
      </c>
      <c r="L1059" t="s">
        <v>35</v>
      </c>
      <c r="O1059">
        <v>1</v>
      </c>
      <c r="P1059">
        <v>0</v>
      </c>
      <c r="Q1059">
        <v>1</v>
      </c>
      <c r="R1059">
        <v>0</v>
      </c>
      <c r="S1059">
        <v>0</v>
      </c>
      <c r="T1059">
        <v>0</v>
      </c>
      <c r="U1059">
        <v>0</v>
      </c>
      <c r="V1059">
        <v>0</v>
      </c>
      <c r="W1059">
        <v>0</v>
      </c>
      <c r="X1059">
        <v>0</v>
      </c>
      <c r="Y1059">
        <v>0</v>
      </c>
      <c r="AA1059" t="s">
        <v>989</v>
      </c>
      <c r="AB1059" t="s">
        <v>990</v>
      </c>
    </row>
    <row r="1060" spans="1:32">
      <c r="A1060" s="8">
        <v>2021</v>
      </c>
      <c r="B1060" s="8">
        <v>295</v>
      </c>
      <c r="D1060" s="8" t="s">
        <v>18</v>
      </c>
      <c r="F1060" t="s">
        <v>19</v>
      </c>
      <c r="G1060" s="8" t="s">
        <v>37</v>
      </c>
      <c r="I1060" t="s">
        <v>18</v>
      </c>
      <c r="J1060" t="s">
        <v>19</v>
      </c>
      <c r="K1060" s="8" t="s">
        <v>41</v>
      </c>
      <c r="L1060" t="s">
        <v>35</v>
      </c>
      <c r="O1060">
        <v>1</v>
      </c>
      <c r="P1060">
        <v>0</v>
      </c>
      <c r="Q1060">
        <v>0</v>
      </c>
      <c r="R1060">
        <v>0</v>
      </c>
      <c r="S1060">
        <v>0</v>
      </c>
      <c r="T1060">
        <v>0</v>
      </c>
      <c r="U1060">
        <v>0</v>
      </c>
      <c r="V1060">
        <v>0</v>
      </c>
      <c r="W1060">
        <v>0</v>
      </c>
      <c r="X1060">
        <v>0</v>
      </c>
      <c r="Y1060">
        <v>0</v>
      </c>
      <c r="AA1060" t="s">
        <v>989</v>
      </c>
      <c r="AB1060" t="s">
        <v>990</v>
      </c>
    </row>
    <row r="1061" spans="1:32">
      <c r="A1061" s="8">
        <v>2021</v>
      </c>
      <c r="B1061" s="8">
        <v>296</v>
      </c>
      <c r="D1061" s="8" t="s">
        <v>18</v>
      </c>
      <c r="F1061" t="s">
        <v>19</v>
      </c>
      <c r="G1061" s="8" t="s">
        <v>37</v>
      </c>
      <c r="I1061" t="s">
        <v>18</v>
      </c>
      <c r="J1061" t="s">
        <v>19</v>
      </c>
      <c r="K1061" s="8" t="s">
        <v>41</v>
      </c>
      <c r="L1061" t="s">
        <v>37</v>
      </c>
      <c r="O1061">
        <v>1</v>
      </c>
      <c r="P1061">
        <v>0</v>
      </c>
      <c r="Q1061">
        <v>1</v>
      </c>
      <c r="R1061">
        <v>0</v>
      </c>
      <c r="S1061">
        <v>0</v>
      </c>
      <c r="T1061">
        <v>0</v>
      </c>
      <c r="U1061">
        <v>0</v>
      </c>
      <c r="V1061">
        <v>0</v>
      </c>
      <c r="W1061">
        <v>0</v>
      </c>
      <c r="X1061">
        <v>0</v>
      </c>
      <c r="Y1061">
        <v>0</v>
      </c>
      <c r="AA1061" t="s">
        <v>991</v>
      </c>
      <c r="AB1061" t="s">
        <v>992</v>
      </c>
    </row>
    <row r="1062" spans="1:32">
      <c r="A1062" s="8">
        <v>2021</v>
      </c>
      <c r="B1062" s="8">
        <v>297</v>
      </c>
      <c r="D1062" s="8" t="s">
        <v>18</v>
      </c>
      <c r="F1062" t="s">
        <v>19</v>
      </c>
      <c r="G1062" s="8" t="s">
        <v>37</v>
      </c>
      <c r="I1062" t="s">
        <v>18</v>
      </c>
      <c r="J1062" t="s">
        <v>19</v>
      </c>
      <c r="K1062" s="8" t="s">
        <v>41</v>
      </c>
      <c r="L1062" t="s">
        <v>37</v>
      </c>
      <c r="O1062">
        <v>1</v>
      </c>
      <c r="P1062">
        <v>0</v>
      </c>
      <c r="Q1062">
        <v>1</v>
      </c>
      <c r="R1062">
        <v>0</v>
      </c>
      <c r="S1062">
        <v>0</v>
      </c>
      <c r="T1062">
        <v>0</v>
      </c>
      <c r="U1062">
        <v>0</v>
      </c>
      <c r="V1062">
        <v>0</v>
      </c>
      <c r="W1062">
        <v>0</v>
      </c>
      <c r="X1062">
        <v>0</v>
      </c>
      <c r="Y1062">
        <v>0</v>
      </c>
      <c r="AA1062" t="s">
        <v>993</v>
      </c>
      <c r="AB1062" t="s">
        <v>994</v>
      </c>
    </row>
    <row r="1063" spans="1:32">
      <c r="A1063" s="8">
        <v>2021</v>
      </c>
      <c r="B1063" s="8">
        <v>298</v>
      </c>
      <c r="D1063" s="8" t="s">
        <v>18</v>
      </c>
      <c r="F1063" t="s">
        <v>19</v>
      </c>
      <c r="G1063" s="8" t="s">
        <v>26</v>
      </c>
      <c r="I1063" t="s">
        <v>18</v>
      </c>
      <c r="J1063" t="s">
        <v>19</v>
      </c>
      <c r="K1063" s="8" t="s">
        <v>25</v>
      </c>
      <c r="L1063" t="s">
        <v>26</v>
      </c>
      <c r="O1063">
        <v>1</v>
      </c>
      <c r="P1063">
        <v>0</v>
      </c>
      <c r="Q1063">
        <v>0</v>
      </c>
      <c r="R1063">
        <v>0</v>
      </c>
      <c r="S1063">
        <v>0</v>
      </c>
      <c r="T1063">
        <v>0</v>
      </c>
      <c r="U1063">
        <v>0</v>
      </c>
      <c r="V1063">
        <v>1</v>
      </c>
      <c r="W1063">
        <v>0</v>
      </c>
      <c r="X1063">
        <v>0</v>
      </c>
      <c r="Y1063">
        <v>0</v>
      </c>
      <c r="AA1063" t="s">
        <v>996</v>
      </c>
      <c r="AB1063" t="s">
        <v>995</v>
      </c>
    </row>
    <row r="1064" spans="1:32">
      <c r="A1064" s="8">
        <v>2021</v>
      </c>
      <c r="B1064" s="8">
        <v>299</v>
      </c>
      <c r="D1064" s="8" t="s">
        <v>18</v>
      </c>
      <c r="F1064" t="s">
        <v>19</v>
      </c>
      <c r="G1064" s="8" t="s">
        <v>35</v>
      </c>
      <c r="I1064" t="s">
        <v>18</v>
      </c>
      <c r="J1064" t="s">
        <v>19</v>
      </c>
      <c r="K1064" s="8" t="s">
        <v>25</v>
      </c>
      <c r="L1064" t="s">
        <v>1131</v>
      </c>
      <c r="O1064">
        <v>1</v>
      </c>
      <c r="P1064">
        <v>0</v>
      </c>
      <c r="Q1064">
        <v>1</v>
      </c>
      <c r="R1064">
        <v>0</v>
      </c>
      <c r="S1064">
        <v>0</v>
      </c>
      <c r="T1064">
        <v>0</v>
      </c>
      <c r="U1064">
        <v>0</v>
      </c>
      <c r="V1064">
        <v>1</v>
      </c>
      <c r="W1064">
        <v>0</v>
      </c>
      <c r="X1064">
        <v>0</v>
      </c>
      <c r="Y1064">
        <v>0</v>
      </c>
      <c r="AA1064" t="s">
        <v>997</v>
      </c>
      <c r="AB1064" t="s">
        <v>998</v>
      </c>
      <c r="AC1064" t="s">
        <v>999</v>
      </c>
    </row>
    <row r="1065" spans="1:32">
      <c r="A1065" s="8">
        <v>2021</v>
      </c>
      <c r="B1065" s="8">
        <v>299</v>
      </c>
      <c r="D1065" s="8" t="s">
        <v>18</v>
      </c>
      <c r="F1065" t="s">
        <v>19</v>
      </c>
      <c r="G1065" s="8" t="s">
        <v>1131</v>
      </c>
      <c r="I1065" t="s">
        <v>18</v>
      </c>
      <c r="J1065" t="s">
        <v>19</v>
      </c>
      <c r="K1065" s="8" t="s">
        <v>25</v>
      </c>
      <c r="L1065" t="s">
        <v>1131</v>
      </c>
      <c r="O1065">
        <v>1</v>
      </c>
      <c r="P1065">
        <v>0</v>
      </c>
      <c r="Q1065">
        <v>1</v>
      </c>
      <c r="R1065">
        <v>0</v>
      </c>
      <c r="S1065">
        <v>0</v>
      </c>
      <c r="T1065">
        <v>0</v>
      </c>
      <c r="U1065">
        <v>0</v>
      </c>
      <c r="V1065">
        <v>0</v>
      </c>
      <c r="W1065">
        <v>0</v>
      </c>
      <c r="X1065">
        <v>0</v>
      </c>
      <c r="Y1065">
        <v>0</v>
      </c>
      <c r="AA1065" t="s">
        <v>997</v>
      </c>
      <c r="AB1065" t="s">
        <v>998</v>
      </c>
    </row>
    <row r="1066" spans="1:32">
      <c r="A1066" s="8">
        <v>2021</v>
      </c>
      <c r="B1066" s="8">
        <v>300</v>
      </c>
      <c r="D1066" s="8" t="s">
        <v>18</v>
      </c>
      <c r="F1066" t="s">
        <v>19</v>
      </c>
      <c r="G1066" s="8" t="s">
        <v>35</v>
      </c>
      <c r="I1066" t="s">
        <v>18</v>
      </c>
      <c r="J1066" t="s">
        <v>19</v>
      </c>
      <c r="K1066" s="8" t="s">
        <v>41</v>
      </c>
      <c r="L1066" t="s">
        <v>340</v>
      </c>
      <c r="O1066">
        <v>1</v>
      </c>
      <c r="P1066">
        <v>0</v>
      </c>
      <c r="Q1066">
        <v>1</v>
      </c>
      <c r="R1066">
        <v>0</v>
      </c>
      <c r="S1066">
        <v>0</v>
      </c>
      <c r="T1066">
        <v>0</v>
      </c>
      <c r="U1066">
        <v>0</v>
      </c>
      <c r="V1066">
        <v>0</v>
      </c>
      <c r="W1066">
        <v>0</v>
      </c>
      <c r="X1066">
        <v>0</v>
      </c>
      <c r="Y1066">
        <v>0</v>
      </c>
      <c r="AA1066" t="s">
        <v>1002</v>
      </c>
      <c r="AB1066" t="s">
        <v>1005</v>
      </c>
    </row>
    <row r="1067" spans="1:32">
      <c r="A1067" s="8">
        <v>2021</v>
      </c>
      <c r="B1067" s="8">
        <v>300</v>
      </c>
      <c r="D1067" s="8" t="s">
        <v>18</v>
      </c>
      <c r="F1067" t="s">
        <v>19</v>
      </c>
      <c r="G1067" s="8" t="s">
        <v>37</v>
      </c>
      <c r="I1067" t="s">
        <v>18</v>
      </c>
      <c r="J1067" t="s">
        <v>19</v>
      </c>
      <c r="K1067" s="8" t="s">
        <v>41</v>
      </c>
      <c r="L1067" t="s">
        <v>340</v>
      </c>
      <c r="O1067">
        <v>1</v>
      </c>
      <c r="P1067">
        <v>0</v>
      </c>
      <c r="Q1067">
        <v>1</v>
      </c>
      <c r="R1067">
        <v>0</v>
      </c>
      <c r="S1067">
        <v>0</v>
      </c>
      <c r="T1067">
        <v>0</v>
      </c>
      <c r="U1067">
        <v>0</v>
      </c>
      <c r="V1067">
        <v>1</v>
      </c>
      <c r="W1067">
        <v>0</v>
      </c>
      <c r="X1067">
        <v>0</v>
      </c>
      <c r="Y1067">
        <v>0</v>
      </c>
      <c r="AA1067" t="s">
        <v>1002</v>
      </c>
      <c r="AB1067" t="s">
        <v>1005</v>
      </c>
      <c r="AC1067" t="s">
        <v>1001</v>
      </c>
      <c r="AE1067" t="s">
        <v>1010</v>
      </c>
      <c r="AF1067" t="s">
        <v>1011</v>
      </c>
    </row>
    <row r="1068" spans="1:32">
      <c r="A1068" s="8">
        <v>2021</v>
      </c>
      <c r="B1068" s="8">
        <v>300</v>
      </c>
      <c r="D1068" s="8" t="s">
        <v>18</v>
      </c>
      <c r="F1068" t="s">
        <v>19</v>
      </c>
      <c r="G1068" s="8" t="s">
        <v>60</v>
      </c>
      <c r="H1068" t="s">
        <v>61</v>
      </c>
      <c r="I1068" t="s">
        <v>18</v>
      </c>
      <c r="J1068" t="s">
        <v>19</v>
      </c>
      <c r="K1068" s="8" t="s">
        <v>41</v>
      </c>
      <c r="L1068" t="s">
        <v>340</v>
      </c>
      <c r="O1068">
        <v>1</v>
      </c>
      <c r="P1068">
        <v>0</v>
      </c>
      <c r="Q1068">
        <v>0</v>
      </c>
      <c r="R1068">
        <v>0</v>
      </c>
      <c r="S1068">
        <v>0</v>
      </c>
      <c r="T1068">
        <v>0</v>
      </c>
      <c r="U1068">
        <v>0</v>
      </c>
      <c r="V1068">
        <v>0</v>
      </c>
      <c r="W1068">
        <v>0</v>
      </c>
      <c r="X1068">
        <v>0</v>
      </c>
      <c r="Y1068">
        <v>0</v>
      </c>
      <c r="AA1068" t="s">
        <v>1002</v>
      </c>
      <c r="AB1068" t="s">
        <v>1005</v>
      </c>
      <c r="AC1068" t="s">
        <v>1017</v>
      </c>
      <c r="AD1068" t="s">
        <v>1018</v>
      </c>
    </row>
    <row r="1069" spans="1:32">
      <c r="A1069" s="8">
        <v>2021</v>
      </c>
      <c r="B1069" s="8">
        <v>301</v>
      </c>
      <c r="D1069" s="8" t="s">
        <v>18</v>
      </c>
      <c r="F1069" t="s">
        <v>19</v>
      </c>
      <c r="G1069" s="8" t="s">
        <v>37</v>
      </c>
      <c r="I1069" t="s">
        <v>18</v>
      </c>
      <c r="J1069" t="s">
        <v>19</v>
      </c>
      <c r="K1069" s="8" t="s">
        <v>41</v>
      </c>
      <c r="L1069" t="s">
        <v>37</v>
      </c>
      <c r="O1069">
        <v>1</v>
      </c>
      <c r="P1069">
        <v>0</v>
      </c>
      <c r="Q1069">
        <v>1</v>
      </c>
      <c r="R1069">
        <v>0</v>
      </c>
      <c r="S1069">
        <v>0</v>
      </c>
      <c r="T1069">
        <v>0</v>
      </c>
      <c r="U1069">
        <v>0</v>
      </c>
      <c r="V1069">
        <v>0</v>
      </c>
      <c r="W1069">
        <v>0</v>
      </c>
      <c r="X1069">
        <v>0</v>
      </c>
      <c r="Y1069">
        <v>0</v>
      </c>
      <c r="AA1069" t="s">
        <v>1003</v>
      </c>
      <c r="AB1069" t="s">
        <v>1004</v>
      </c>
    </row>
    <row r="1070" spans="1:32">
      <c r="A1070" s="8">
        <v>2021</v>
      </c>
      <c r="B1070" s="8">
        <v>301</v>
      </c>
      <c r="D1070" s="8" t="s">
        <v>18</v>
      </c>
      <c r="F1070" t="s">
        <v>19</v>
      </c>
      <c r="G1070" s="8" t="s">
        <v>223</v>
      </c>
      <c r="H1070" t="s">
        <v>228</v>
      </c>
      <c r="I1070" t="s">
        <v>18</v>
      </c>
      <c r="J1070" t="s">
        <v>19</v>
      </c>
      <c r="K1070" s="8" t="s">
        <v>41</v>
      </c>
      <c r="L1070" t="s">
        <v>37</v>
      </c>
      <c r="O1070">
        <v>1</v>
      </c>
      <c r="P1070">
        <v>0</v>
      </c>
      <c r="Q1070">
        <v>0</v>
      </c>
      <c r="R1070">
        <v>0</v>
      </c>
      <c r="S1070">
        <v>0</v>
      </c>
      <c r="T1070">
        <v>0</v>
      </c>
      <c r="U1070">
        <v>0</v>
      </c>
      <c r="V1070">
        <v>0</v>
      </c>
      <c r="W1070">
        <v>0</v>
      </c>
      <c r="X1070">
        <v>0</v>
      </c>
      <c r="Y1070">
        <v>0</v>
      </c>
      <c r="AA1070" t="s">
        <v>1003</v>
      </c>
      <c r="AB1070" t="s">
        <v>1004</v>
      </c>
    </row>
    <row r="1071" spans="1:32">
      <c r="A1071" s="8">
        <v>2021</v>
      </c>
      <c r="B1071" s="8">
        <v>302</v>
      </c>
      <c r="D1071" s="8" t="s">
        <v>18</v>
      </c>
      <c r="F1071" t="s">
        <v>19</v>
      </c>
      <c r="G1071" s="8" t="s">
        <v>26</v>
      </c>
      <c r="I1071" t="s">
        <v>18</v>
      </c>
      <c r="J1071" t="s">
        <v>19</v>
      </c>
      <c r="K1071" s="8" t="s">
        <v>41</v>
      </c>
      <c r="L1071" t="s">
        <v>26</v>
      </c>
      <c r="M1071" t="s">
        <v>35</v>
      </c>
      <c r="N1071" t="s">
        <v>37</v>
      </c>
      <c r="O1071">
        <v>1</v>
      </c>
      <c r="P1071">
        <v>0</v>
      </c>
      <c r="Q1071">
        <v>0</v>
      </c>
      <c r="R1071">
        <v>0</v>
      </c>
      <c r="S1071">
        <v>0</v>
      </c>
      <c r="T1071">
        <v>0</v>
      </c>
      <c r="U1071">
        <v>0</v>
      </c>
      <c r="V1071">
        <v>1</v>
      </c>
      <c r="W1071">
        <v>0</v>
      </c>
      <c r="X1071">
        <v>0</v>
      </c>
      <c r="Y1071">
        <v>0</v>
      </c>
      <c r="AA1071" t="s">
        <v>1007</v>
      </c>
      <c r="AB1071" t="s">
        <v>1008</v>
      </c>
      <c r="AC1071" t="s">
        <v>1009</v>
      </c>
    </row>
    <row r="1072" spans="1:32">
      <c r="A1072" s="8">
        <v>2021</v>
      </c>
      <c r="B1072" s="8">
        <v>302</v>
      </c>
      <c r="D1072" s="8" t="s">
        <v>18</v>
      </c>
      <c r="F1072" t="s">
        <v>19</v>
      </c>
      <c r="G1072" s="8" t="s">
        <v>35</v>
      </c>
      <c r="I1072" t="s">
        <v>18</v>
      </c>
      <c r="J1072" t="s">
        <v>19</v>
      </c>
      <c r="K1072" s="8" t="s">
        <v>41</v>
      </c>
      <c r="L1072" t="s">
        <v>26</v>
      </c>
      <c r="M1072" t="s">
        <v>35</v>
      </c>
      <c r="N1072" t="s">
        <v>37</v>
      </c>
      <c r="O1072">
        <v>1</v>
      </c>
      <c r="P1072">
        <v>0</v>
      </c>
      <c r="Q1072">
        <v>0</v>
      </c>
      <c r="R1072">
        <v>0</v>
      </c>
      <c r="S1072">
        <v>0</v>
      </c>
      <c r="T1072">
        <v>0</v>
      </c>
      <c r="U1072">
        <v>0</v>
      </c>
      <c r="V1072">
        <v>1</v>
      </c>
      <c r="W1072">
        <v>0</v>
      </c>
      <c r="X1072">
        <v>0</v>
      </c>
      <c r="Y1072">
        <v>0</v>
      </c>
      <c r="AA1072" t="s">
        <v>1007</v>
      </c>
      <c r="AB1072" t="s">
        <v>1008</v>
      </c>
      <c r="AC1072" t="s">
        <v>1009</v>
      </c>
    </row>
    <row r="1073" spans="1:32">
      <c r="A1073" s="8">
        <v>2021</v>
      </c>
      <c r="B1073" s="8">
        <v>302</v>
      </c>
      <c r="D1073" s="8" t="s">
        <v>18</v>
      </c>
      <c r="F1073" t="s">
        <v>19</v>
      </c>
      <c r="G1073" s="8" t="s">
        <v>1006</v>
      </c>
      <c r="I1073" t="s">
        <v>18</v>
      </c>
      <c r="J1073" t="s">
        <v>19</v>
      </c>
      <c r="K1073" s="8" t="s">
        <v>41</v>
      </c>
      <c r="L1073" t="s">
        <v>26</v>
      </c>
      <c r="M1073" t="s">
        <v>35</v>
      </c>
      <c r="N1073" t="s">
        <v>37</v>
      </c>
      <c r="O1073">
        <v>1</v>
      </c>
      <c r="P1073">
        <v>0</v>
      </c>
      <c r="Q1073">
        <v>0</v>
      </c>
      <c r="R1073">
        <v>0</v>
      </c>
      <c r="S1073">
        <v>0</v>
      </c>
      <c r="T1073">
        <v>0</v>
      </c>
      <c r="U1073">
        <v>0</v>
      </c>
      <c r="V1073">
        <v>1</v>
      </c>
      <c r="W1073">
        <v>0</v>
      </c>
      <c r="X1073">
        <v>0</v>
      </c>
      <c r="Y1073">
        <v>0</v>
      </c>
      <c r="AA1073" t="s">
        <v>1007</v>
      </c>
      <c r="AB1073" t="s">
        <v>1008</v>
      </c>
      <c r="AC1073" t="s">
        <v>1009</v>
      </c>
    </row>
    <row r="1074" spans="1:32">
      <c r="A1074" s="8">
        <v>2021</v>
      </c>
      <c r="B1074" s="8">
        <v>302</v>
      </c>
      <c r="D1074" s="8" t="s">
        <v>18</v>
      </c>
      <c r="F1074" t="s">
        <v>19</v>
      </c>
      <c r="G1074" s="8" t="s">
        <v>37</v>
      </c>
      <c r="I1074" t="s">
        <v>18</v>
      </c>
      <c r="J1074" t="s">
        <v>19</v>
      </c>
      <c r="K1074" s="8" t="s">
        <v>41</v>
      </c>
      <c r="L1074" t="s">
        <v>26</v>
      </c>
      <c r="M1074" t="s">
        <v>35</v>
      </c>
      <c r="N1074" t="s">
        <v>37</v>
      </c>
      <c r="O1074">
        <v>1</v>
      </c>
      <c r="P1074">
        <v>0</v>
      </c>
      <c r="Q1074">
        <v>0</v>
      </c>
      <c r="R1074">
        <v>0</v>
      </c>
      <c r="S1074">
        <v>0</v>
      </c>
      <c r="T1074">
        <v>0</v>
      </c>
      <c r="U1074">
        <v>0</v>
      </c>
      <c r="V1074">
        <v>1</v>
      </c>
      <c r="W1074">
        <v>0</v>
      </c>
      <c r="X1074">
        <v>0</v>
      </c>
      <c r="Y1074">
        <v>0</v>
      </c>
      <c r="AA1074" t="s">
        <v>1007</v>
      </c>
      <c r="AB1074" t="s">
        <v>1008</v>
      </c>
      <c r="AC1074" t="s">
        <v>1009</v>
      </c>
      <c r="AE1074" t="s">
        <v>1012</v>
      </c>
      <c r="AF1074" t="s">
        <v>1011</v>
      </c>
    </row>
    <row r="1075" spans="1:32">
      <c r="A1075" s="8">
        <v>2021</v>
      </c>
      <c r="B1075" s="8">
        <v>303</v>
      </c>
      <c r="D1075" s="8" t="s">
        <v>18</v>
      </c>
      <c r="F1075" t="s">
        <v>19</v>
      </c>
      <c r="G1075" s="8" t="s">
        <v>37</v>
      </c>
      <c r="I1075" t="s">
        <v>18</v>
      </c>
      <c r="J1075" t="s">
        <v>19</v>
      </c>
      <c r="K1075" s="8" t="s">
        <v>41</v>
      </c>
      <c r="L1075" t="s">
        <v>37</v>
      </c>
      <c r="O1075">
        <v>1</v>
      </c>
      <c r="P1075">
        <v>0</v>
      </c>
      <c r="Q1075">
        <v>1</v>
      </c>
      <c r="R1075">
        <v>0</v>
      </c>
      <c r="S1075">
        <v>0</v>
      </c>
      <c r="T1075">
        <v>0</v>
      </c>
      <c r="U1075">
        <v>0</v>
      </c>
      <c r="V1075">
        <v>0</v>
      </c>
      <c r="W1075">
        <v>0</v>
      </c>
      <c r="X1075">
        <v>0</v>
      </c>
      <c r="Y1075">
        <v>0</v>
      </c>
      <c r="AA1075" t="s">
        <v>1013</v>
      </c>
      <c r="AB1075" t="s">
        <v>1014</v>
      </c>
    </row>
    <row r="1076" spans="1:32">
      <c r="A1076" s="8">
        <v>2021</v>
      </c>
      <c r="B1076" s="8">
        <v>304</v>
      </c>
      <c r="D1076" s="8" t="s">
        <v>18</v>
      </c>
      <c r="F1076" t="s">
        <v>19</v>
      </c>
      <c r="G1076" s="8" t="s">
        <v>965</v>
      </c>
      <c r="I1076" t="s">
        <v>152</v>
      </c>
      <c r="J1076" t="s">
        <v>184</v>
      </c>
      <c r="K1076" s="8" t="s">
        <v>201</v>
      </c>
      <c r="L1076" t="s">
        <v>965</v>
      </c>
      <c r="O1076">
        <v>1</v>
      </c>
      <c r="P1076">
        <v>1</v>
      </c>
      <c r="Q1076">
        <v>1</v>
      </c>
      <c r="R1076">
        <v>1</v>
      </c>
      <c r="S1076">
        <v>0</v>
      </c>
      <c r="T1076">
        <v>0</v>
      </c>
      <c r="U1076">
        <v>0</v>
      </c>
      <c r="V1076">
        <v>0</v>
      </c>
      <c r="W1076">
        <v>1</v>
      </c>
      <c r="X1076">
        <v>1</v>
      </c>
      <c r="Y1076">
        <v>0</v>
      </c>
      <c r="Z1076" t="s">
        <v>176</v>
      </c>
      <c r="AA1076" t="s">
        <v>1015</v>
      </c>
      <c r="AB1076" t="s">
        <v>1016</v>
      </c>
    </row>
    <row r="1077" spans="1:32">
      <c r="A1077" s="8">
        <v>2021</v>
      </c>
      <c r="B1077" s="8">
        <v>305</v>
      </c>
      <c r="D1077" s="8" t="s">
        <v>18</v>
      </c>
      <c r="F1077" t="s">
        <v>19</v>
      </c>
      <c r="G1077" s="8" t="s">
        <v>210</v>
      </c>
      <c r="I1077" t="s">
        <v>18</v>
      </c>
      <c r="J1077" t="s">
        <v>19</v>
      </c>
      <c r="K1077" s="8" t="s">
        <v>201</v>
      </c>
      <c r="L1077" s="8" t="s">
        <v>210</v>
      </c>
      <c r="M1077" s="8"/>
      <c r="N1077" s="8"/>
      <c r="O1077">
        <v>1</v>
      </c>
      <c r="P1077">
        <v>1</v>
      </c>
      <c r="Q1077">
        <v>1</v>
      </c>
      <c r="R1077">
        <v>0</v>
      </c>
      <c r="S1077">
        <v>0</v>
      </c>
      <c r="T1077">
        <v>0</v>
      </c>
      <c r="U1077">
        <v>0</v>
      </c>
      <c r="V1077">
        <v>0</v>
      </c>
      <c r="W1077">
        <v>0</v>
      </c>
      <c r="X1077">
        <v>0</v>
      </c>
      <c r="Y1077">
        <v>0</v>
      </c>
      <c r="AA1077" t="s">
        <v>1019</v>
      </c>
      <c r="AB1077" t="s">
        <v>1020</v>
      </c>
    </row>
    <row r="1078" spans="1:32">
      <c r="A1078" s="8">
        <v>2021</v>
      </c>
      <c r="B1078" s="8">
        <v>305</v>
      </c>
      <c r="D1078" s="8" t="s">
        <v>18</v>
      </c>
      <c r="F1078" t="s">
        <v>19</v>
      </c>
      <c r="G1078" s="8" t="s">
        <v>37</v>
      </c>
      <c r="I1078" t="s">
        <v>18</v>
      </c>
      <c r="J1078" t="s">
        <v>19</v>
      </c>
      <c r="K1078" s="8" t="s">
        <v>201</v>
      </c>
      <c r="L1078" s="8" t="s">
        <v>210</v>
      </c>
      <c r="M1078" s="8"/>
      <c r="N1078" s="8"/>
      <c r="O1078">
        <v>1</v>
      </c>
      <c r="P1078">
        <v>1</v>
      </c>
      <c r="Q1078">
        <v>0</v>
      </c>
      <c r="R1078">
        <v>0</v>
      </c>
      <c r="S1078">
        <v>0</v>
      </c>
      <c r="T1078">
        <v>0</v>
      </c>
      <c r="U1078">
        <v>0</v>
      </c>
      <c r="V1078">
        <v>0</v>
      </c>
      <c r="W1078">
        <v>0</v>
      </c>
      <c r="X1078">
        <v>0</v>
      </c>
      <c r="Y1078">
        <v>0</v>
      </c>
      <c r="AA1078" t="s">
        <v>1019</v>
      </c>
      <c r="AB1078" t="s">
        <v>1020</v>
      </c>
    </row>
    <row r="1079" spans="1:32">
      <c r="A1079" s="8">
        <v>2021</v>
      </c>
      <c r="B1079" s="8">
        <v>305</v>
      </c>
      <c r="D1079" s="8" t="s">
        <v>18</v>
      </c>
      <c r="F1079" t="s">
        <v>19</v>
      </c>
      <c r="G1079" s="8" t="s">
        <v>153</v>
      </c>
      <c r="H1079" t="s">
        <v>186</v>
      </c>
      <c r="I1079" t="s">
        <v>18</v>
      </c>
      <c r="J1079" t="s">
        <v>19</v>
      </c>
      <c r="K1079" s="8" t="s">
        <v>201</v>
      </c>
      <c r="L1079" s="8" t="s">
        <v>210</v>
      </c>
      <c r="M1079" s="8"/>
      <c r="N1079" s="8"/>
      <c r="O1079">
        <v>1</v>
      </c>
      <c r="P1079">
        <v>1</v>
      </c>
      <c r="Q1079">
        <v>0</v>
      </c>
      <c r="R1079">
        <v>0</v>
      </c>
      <c r="S1079">
        <v>0</v>
      </c>
      <c r="T1079">
        <v>0</v>
      </c>
      <c r="U1079">
        <v>0</v>
      </c>
      <c r="V1079">
        <v>0</v>
      </c>
      <c r="W1079">
        <v>0</v>
      </c>
      <c r="X1079">
        <v>0</v>
      </c>
      <c r="Y1079">
        <v>0</v>
      </c>
      <c r="AA1079" t="s">
        <v>1019</v>
      </c>
      <c r="AB1079" t="s">
        <v>1020</v>
      </c>
    </row>
    <row r="1080" spans="1:32">
      <c r="A1080" s="8">
        <v>2021</v>
      </c>
      <c r="B1080" s="8">
        <v>306</v>
      </c>
      <c r="D1080" s="8" t="s">
        <v>18</v>
      </c>
      <c r="F1080" t="s">
        <v>19</v>
      </c>
      <c r="G1080" s="8" t="s">
        <v>37</v>
      </c>
      <c r="I1080" t="s">
        <v>18</v>
      </c>
      <c r="J1080" t="s">
        <v>19</v>
      </c>
      <c r="K1080" s="8" t="s">
        <v>41</v>
      </c>
      <c r="L1080" s="8" t="s">
        <v>37</v>
      </c>
      <c r="M1080" s="8"/>
      <c r="N1080" s="8"/>
      <c r="O1080">
        <v>1</v>
      </c>
      <c r="P1080">
        <v>0</v>
      </c>
      <c r="Q1080">
        <v>1</v>
      </c>
      <c r="R1080">
        <v>0</v>
      </c>
      <c r="S1080">
        <v>0</v>
      </c>
      <c r="T1080">
        <v>0</v>
      </c>
      <c r="U1080">
        <v>0</v>
      </c>
      <c r="V1080">
        <v>0</v>
      </c>
      <c r="W1080">
        <v>0</v>
      </c>
      <c r="X1080">
        <v>0</v>
      </c>
      <c r="Y1080">
        <v>0</v>
      </c>
      <c r="AA1080" t="s">
        <v>1021</v>
      </c>
      <c r="AB1080" t="s">
        <v>1022</v>
      </c>
      <c r="AD1080" t="s">
        <v>1038</v>
      </c>
    </row>
    <row r="1081" spans="1:32">
      <c r="A1081" s="8">
        <v>2021</v>
      </c>
      <c r="B1081" s="8">
        <v>307</v>
      </c>
      <c r="D1081" s="8" t="s">
        <v>18</v>
      </c>
      <c r="F1081" t="s">
        <v>19</v>
      </c>
      <c r="G1081" s="8" t="s">
        <v>1131</v>
      </c>
      <c r="I1081" t="s">
        <v>18</v>
      </c>
      <c r="J1081" t="s">
        <v>19</v>
      </c>
      <c r="K1081" s="8" t="s">
        <v>25</v>
      </c>
      <c r="L1081" s="8" t="s">
        <v>1131</v>
      </c>
      <c r="M1081" s="8"/>
      <c r="N1081" s="8"/>
      <c r="O1081">
        <v>1</v>
      </c>
      <c r="P1081">
        <v>1</v>
      </c>
      <c r="Q1081">
        <v>1</v>
      </c>
      <c r="R1081">
        <v>1</v>
      </c>
      <c r="S1081">
        <v>0</v>
      </c>
      <c r="T1081">
        <v>0</v>
      </c>
      <c r="U1081">
        <v>0</v>
      </c>
      <c r="V1081">
        <v>0</v>
      </c>
      <c r="W1081">
        <v>0</v>
      </c>
      <c r="X1081">
        <v>0</v>
      </c>
      <c r="Y1081">
        <v>0</v>
      </c>
      <c r="AA1081" t="s">
        <v>1023</v>
      </c>
      <c r="AB1081" t="s">
        <v>1024</v>
      </c>
    </row>
    <row r="1082" spans="1:32">
      <c r="A1082" s="8">
        <v>2021</v>
      </c>
      <c r="B1082" s="8">
        <v>308</v>
      </c>
      <c r="D1082" s="8" t="s">
        <v>18</v>
      </c>
      <c r="F1082" t="s">
        <v>19</v>
      </c>
      <c r="G1082" s="8" t="s">
        <v>1025</v>
      </c>
      <c r="H1082" t="s">
        <v>562</v>
      </c>
      <c r="K1082" s="8" t="s">
        <v>65</v>
      </c>
      <c r="L1082" s="8" t="s">
        <v>1025</v>
      </c>
      <c r="M1082" s="8"/>
      <c r="N1082" s="8"/>
      <c r="O1082">
        <v>0</v>
      </c>
      <c r="P1082">
        <v>0</v>
      </c>
      <c r="Q1082">
        <v>0</v>
      </c>
      <c r="R1082">
        <v>0</v>
      </c>
      <c r="S1082">
        <v>0</v>
      </c>
      <c r="T1082">
        <v>1</v>
      </c>
      <c r="U1082">
        <v>0</v>
      </c>
      <c r="V1082">
        <v>0</v>
      </c>
      <c r="W1082">
        <v>0</v>
      </c>
      <c r="X1082">
        <v>0</v>
      </c>
      <c r="Y1082">
        <v>0</v>
      </c>
      <c r="AA1082" t="s">
        <v>1026</v>
      </c>
      <c r="AB1082" t="s">
        <v>1027</v>
      </c>
    </row>
    <row r="1083" spans="1:32">
      <c r="A1083" s="8">
        <v>2021</v>
      </c>
      <c r="B1083" s="8">
        <v>309</v>
      </c>
      <c r="D1083" s="8" t="s">
        <v>18</v>
      </c>
      <c r="F1083" t="s">
        <v>19</v>
      </c>
      <c r="G1083" s="8" t="s">
        <v>37</v>
      </c>
      <c r="K1083" s="8" t="s">
        <v>41</v>
      </c>
      <c r="L1083" s="8" t="s">
        <v>37</v>
      </c>
      <c r="M1083" s="8"/>
      <c r="N1083" s="8"/>
      <c r="O1083">
        <v>0</v>
      </c>
      <c r="P1083">
        <v>0</v>
      </c>
      <c r="Q1083">
        <v>0</v>
      </c>
      <c r="R1083">
        <v>1</v>
      </c>
      <c r="S1083">
        <v>0</v>
      </c>
      <c r="T1083">
        <v>0</v>
      </c>
      <c r="U1083">
        <v>0</v>
      </c>
      <c r="V1083">
        <v>0</v>
      </c>
      <c r="W1083">
        <v>0</v>
      </c>
      <c r="X1083">
        <v>0</v>
      </c>
      <c r="Y1083">
        <v>0</v>
      </c>
      <c r="AA1083" t="s">
        <v>1028</v>
      </c>
      <c r="AB1083" t="s">
        <v>1029</v>
      </c>
    </row>
    <row r="1084" spans="1:32">
      <c r="A1084" s="8">
        <v>2021</v>
      </c>
      <c r="B1084" s="8">
        <v>309</v>
      </c>
      <c r="D1084" s="8" t="s">
        <v>18</v>
      </c>
      <c r="F1084" t="s">
        <v>19</v>
      </c>
      <c r="G1084" s="8" t="s">
        <v>152</v>
      </c>
      <c r="H1084" t="s">
        <v>184</v>
      </c>
      <c r="K1084" s="8" t="s">
        <v>41</v>
      </c>
      <c r="L1084" s="8" t="s">
        <v>37</v>
      </c>
      <c r="M1084" s="8"/>
      <c r="N1084" s="8"/>
      <c r="O1084">
        <v>0</v>
      </c>
      <c r="P1084">
        <v>0</v>
      </c>
      <c r="Q1084">
        <v>0</v>
      </c>
      <c r="R1084">
        <v>1</v>
      </c>
      <c r="S1084">
        <v>0</v>
      </c>
      <c r="T1084">
        <v>0</v>
      </c>
      <c r="U1084">
        <v>0</v>
      </c>
      <c r="V1084">
        <v>0</v>
      </c>
      <c r="W1084">
        <v>0</v>
      </c>
      <c r="X1084">
        <v>0</v>
      </c>
      <c r="Y1084">
        <v>0</v>
      </c>
      <c r="AA1084" t="s">
        <v>1028</v>
      </c>
      <c r="AB1084" t="s">
        <v>1029</v>
      </c>
    </row>
    <row r="1085" spans="1:32">
      <c r="A1085" s="8">
        <v>2021</v>
      </c>
      <c r="B1085" s="8">
        <v>310</v>
      </c>
      <c r="D1085" s="8" t="s">
        <v>18</v>
      </c>
      <c r="F1085" t="s">
        <v>19</v>
      </c>
      <c r="G1085" s="8" t="s">
        <v>37</v>
      </c>
      <c r="I1085" t="s">
        <v>18</v>
      </c>
      <c r="J1085" t="s">
        <v>19</v>
      </c>
      <c r="K1085" s="8" t="s">
        <v>41</v>
      </c>
      <c r="L1085" s="8" t="s">
        <v>1030</v>
      </c>
      <c r="M1085" s="8"/>
      <c r="N1085" s="8"/>
      <c r="O1085">
        <v>1</v>
      </c>
      <c r="P1085">
        <v>0</v>
      </c>
      <c r="Q1085">
        <v>1</v>
      </c>
      <c r="R1085">
        <v>0</v>
      </c>
      <c r="S1085">
        <v>0</v>
      </c>
      <c r="T1085">
        <v>0</v>
      </c>
      <c r="U1085">
        <v>0</v>
      </c>
      <c r="V1085">
        <v>0</v>
      </c>
      <c r="W1085">
        <v>0</v>
      </c>
      <c r="X1085">
        <v>0</v>
      </c>
      <c r="Y1085">
        <v>0</v>
      </c>
      <c r="AA1085" t="s">
        <v>1031</v>
      </c>
      <c r="AB1085" t="s">
        <v>1032</v>
      </c>
    </row>
    <row r="1086" spans="1:32">
      <c r="A1086" s="8">
        <v>2021</v>
      </c>
      <c r="B1086" s="8">
        <v>310</v>
      </c>
      <c r="D1086" s="8" t="s">
        <v>18</v>
      </c>
      <c r="F1086" t="s">
        <v>19</v>
      </c>
      <c r="G1086" s="8" t="s">
        <v>35</v>
      </c>
      <c r="I1086" t="s">
        <v>18</v>
      </c>
      <c r="J1086" t="s">
        <v>19</v>
      </c>
      <c r="K1086" s="8" t="s">
        <v>41</v>
      </c>
      <c r="L1086" s="8" t="s">
        <v>1030</v>
      </c>
      <c r="M1086" s="8"/>
      <c r="N1086" s="8"/>
      <c r="O1086">
        <v>1</v>
      </c>
      <c r="P1086">
        <v>0</v>
      </c>
      <c r="Q1086">
        <v>1</v>
      </c>
      <c r="R1086">
        <v>0</v>
      </c>
      <c r="S1086">
        <v>0</v>
      </c>
      <c r="T1086">
        <v>0</v>
      </c>
      <c r="U1086">
        <v>0</v>
      </c>
      <c r="V1086">
        <v>0</v>
      </c>
      <c r="W1086">
        <v>0</v>
      </c>
      <c r="X1086">
        <v>0</v>
      </c>
      <c r="Y1086">
        <v>0</v>
      </c>
      <c r="AA1086" t="s">
        <v>1031</v>
      </c>
      <c r="AB1086" t="s">
        <v>1032</v>
      </c>
    </row>
    <row r="1087" spans="1:32">
      <c r="A1087" s="8">
        <v>2021</v>
      </c>
      <c r="B1087" s="8">
        <v>311</v>
      </c>
      <c r="D1087" s="8" t="s">
        <v>18</v>
      </c>
      <c r="F1087" t="s">
        <v>19</v>
      </c>
      <c r="G1087" s="8" t="s">
        <v>37</v>
      </c>
      <c r="I1087" t="s">
        <v>18</v>
      </c>
      <c r="J1087" t="s">
        <v>19</v>
      </c>
      <c r="K1087" s="8" t="s">
        <v>41</v>
      </c>
      <c r="L1087" s="8" t="s">
        <v>37</v>
      </c>
      <c r="M1087" s="8"/>
      <c r="N1087" s="8"/>
      <c r="O1087">
        <v>1</v>
      </c>
      <c r="P1087">
        <v>0</v>
      </c>
      <c r="Q1087">
        <v>0</v>
      </c>
      <c r="R1087">
        <v>0</v>
      </c>
      <c r="S1087">
        <v>0</v>
      </c>
      <c r="T1087">
        <v>0</v>
      </c>
      <c r="U1087">
        <v>0</v>
      </c>
      <c r="V1087">
        <v>0</v>
      </c>
      <c r="W1087">
        <v>0</v>
      </c>
      <c r="X1087">
        <v>0</v>
      </c>
      <c r="Y1087">
        <v>0</v>
      </c>
      <c r="AA1087" t="s">
        <v>1033</v>
      </c>
      <c r="AB1087" t="s">
        <v>1034</v>
      </c>
    </row>
    <row r="1088" spans="1:32">
      <c r="A1088" s="8">
        <v>2021</v>
      </c>
      <c r="B1088" s="8">
        <v>312</v>
      </c>
      <c r="D1088" s="8" t="s">
        <v>18</v>
      </c>
      <c r="F1088" t="s">
        <v>19</v>
      </c>
      <c r="G1088" s="8" t="s">
        <v>37</v>
      </c>
      <c r="I1088" t="s">
        <v>18</v>
      </c>
      <c r="J1088" t="s">
        <v>19</v>
      </c>
      <c r="K1088" s="8" t="s">
        <v>41</v>
      </c>
      <c r="L1088" s="8" t="s">
        <v>37</v>
      </c>
      <c r="M1088" s="8"/>
      <c r="N1088" s="8"/>
      <c r="O1088">
        <v>1</v>
      </c>
      <c r="P1088">
        <v>0</v>
      </c>
      <c r="Q1088">
        <v>1</v>
      </c>
      <c r="R1088">
        <v>0</v>
      </c>
      <c r="S1088">
        <v>0</v>
      </c>
      <c r="T1088">
        <v>0</v>
      </c>
      <c r="U1088">
        <v>0</v>
      </c>
      <c r="V1088">
        <v>1</v>
      </c>
      <c r="W1088">
        <v>0</v>
      </c>
      <c r="X1088">
        <v>0</v>
      </c>
      <c r="Y1088">
        <v>0</v>
      </c>
      <c r="AA1088" t="s">
        <v>1035</v>
      </c>
      <c r="AB1088" t="s">
        <v>1036</v>
      </c>
      <c r="AC1088" t="s">
        <v>1037</v>
      </c>
    </row>
    <row r="1089" spans="1:32">
      <c r="A1089" s="8">
        <v>2021</v>
      </c>
      <c r="B1089" s="8">
        <v>313</v>
      </c>
      <c r="D1089" s="8" t="s">
        <v>18</v>
      </c>
      <c r="F1089" t="s">
        <v>19</v>
      </c>
      <c r="G1089" s="8" t="s">
        <v>35</v>
      </c>
      <c r="I1089" t="s">
        <v>18</v>
      </c>
      <c r="J1089" t="s">
        <v>19</v>
      </c>
      <c r="K1089" s="8" t="s">
        <v>25</v>
      </c>
      <c r="L1089" s="8" t="s">
        <v>35</v>
      </c>
      <c r="M1089" s="8"/>
      <c r="N1089" s="8"/>
      <c r="O1089">
        <v>1</v>
      </c>
      <c r="P1089">
        <v>0</v>
      </c>
      <c r="Q1089">
        <v>1</v>
      </c>
      <c r="R1089">
        <v>0</v>
      </c>
      <c r="S1089">
        <v>0</v>
      </c>
      <c r="T1089">
        <v>0</v>
      </c>
      <c r="U1089">
        <v>0</v>
      </c>
      <c r="V1089">
        <v>0</v>
      </c>
      <c r="W1089">
        <v>0</v>
      </c>
      <c r="X1089">
        <v>0</v>
      </c>
      <c r="Y1089">
        <v>0</v>
      </c>
      <c r="AA1089" t="s">
        <v>1039</v>
      </c>
      <c r="AB1089" t="s">
        <v>1041</v>
      </c>
      <c r="AD1089" t="s">
        <v>1040</v>
      </c>
      <c r="AE1089" t="s">
        <v>1061</v>
      </c>
      <c r="AF1089" t="s">
        <v>1062</v>
      </c>
    </row>
    <row r="1090" spans="1:32">
      <c r="A1090" s="8">
        <v>2021</v>
      </c>
      <c r="B1090" s="8">
        <v>313</v>
      </c>
      <c r="D1090" s="8" t="s">
        <v>18</v>
      </c>
      <c r="F1090" t="s">
        <v>19</v>
      </c>
      <c r="G1090" s="8" t="s">
        <v>202</v>
      </c>
      <c r="H1090" t="s">
        <v>205</v>
      </c>
      <c r="K1090" s="8" t="s">
        <v>25</v>
      </c>
      <c r="L1090" s="8" t="s">
        <v>35</v>
      </c>
      <c r="M1090" s="8"/>
      <c r="N1090" s="8"/>
      <c r="O1090">
        <v>0</v>
      </c>
      <c r="P1090">
        <v>0</v>
      </c>
      <c r="Q1090">
        <v>0</v>
      </c>
      <c r="R1090">
        <v>0</v>
      </c>
      <c r="S1090">
        <v>1</v>
      </c>
      <c r="T1090">
        <v>0</v>
      </c>
      <c r="U1090">
        <v>0</v>
      </c>
      <c r="V1090">
        <v>0</v>
      </c>
      <c r="W1090">
        <v>0</v>
      </c>
      <c r="X1090">
        <v>0</v>
      </c>
      <c r="Y1090">
        <v>0</v>
      </c>
      <c r="AA1090" t="s">
        <v>1042</v>
      </c>
      <c r="AB1090" t="s">
        <v>1043</v>
      </c>
    </row>
    <row r="1091" spans="1:32">
      <c r="A1091" s="8">
        <v>2021</v>
      </c>
      <c r="B1091" s="8">
        <v>313</v>
      </c>
      <c r="D1091" s="8" t="s">
        <v>18</v>
      </c>
      <c r="F1091" t="s">
        <v>19</v>
      </c>
      <c r="G1091" s="8" t="s">
        <v>193</v>
      </c>
      <c r="H1091" t="s">
        <v>185</v>
      </c>
      <c r="K1091" s="8" t="s">
        <v>25</v>
      </c>
      <c r="L1091" s="8" t="s">
        <v>35</v>
      </c>
      <c r="M1091" s="8"/>
      <c r="N1091" s="8"/>
      <c r="O1091">
        <v>0</v>
      </c>
      <c r="P1091">
        <v>0</v>
      </c>
      <c r="Q1091">
        <v>0</v>
      </c>
      <c r="R1091">
        <v>0</v>
      </c>
      <c r="S1091">
        <v>1</v>
      </c>
      <c r="T1091">
        <v>0</v>
      </c>
      <c r="U1091">
        <v>0</v>
      </c>
      <c r="V1091">
        <v>0</v>
      </c>
      <c r="W1091">
        <v>0</v>
      </c>
      <c r="X1091">
        <v>0</v>
      </c>
      <c r="Y1091">
        <v>0</v>
      </c>
      <c r="AA1091" t="s">
        <v>1042</v>
      </c>
      <c r="AB1091" t="s">
        <v>1043</v>
      </c>
    </row>
    <row r="1092" spans="1:32">
      <c r="A1092" s="8">
        <v>2021</v>
      </c>
      <c r="B1092" s="8">
        <v>313</v>
      </c>
      <c r="D1092" s="8" t="s">
        <v>18</v>
      </c>
      <c r="F1092" t="s">
        <v>19</v>
      </c>
      <c r="G1092" s="8" t="s">
        <v>203</v>
      </c>
      <c r="H1092" t="s">
        <v>206</v>
      </c>
      <c r="K1092" s="8" t="s">
        <v>25</v>
      </c>
      <c r="L1092" s="8" t="s">
        <v>35</v>
      </c>
      <c r="M1092" s="8"/>
      <c r="N1092" s="8"/>
      <c r="O1092">
        <v>0</v>
      </c>
      <c r="P1092">
        <v>0</v>
      </c>
      <c r="Q1092">
        <v>0</v>
      </c>
      <c r="R1092">
        <v>0</v>
      </c>
      <c r="S1092">
        <v>1</v>
      </c>
      <c r="T1092">
        <v>0</v>
      </c>
      <c r="U1092">
        <v>0</v>
      </c>
      <c r="V1092">
        <v>0</v>
      </c>
      <c r="W1092">
        <v>0</v>
      </c>
      <c r="X1092">
        <v>0</v>
      </c>
      <c r="Y1092">
        <v>0</v>
      </c>
      <c r="AA1092" t="s">
        <v>1042</v>
      </c>
      <c r="AB1092" t="s">
        <v>1043</v>
      </c>
    </row>
    <row r="1093" spans="1:32">
      <c r="A1093" s="8">
        <v>2021</v>
      </c>
      <c r="B1093" s="8">
        <v>314</v>
      </c>
      <c r="D1093" s="8" t="s">
        <v>18</v>
      </c>
      <c r="F1093" t="s">
        <v>19</v>
      </c>
      <c r="G1093" s="8" t="s">
        <v>37</v>
      </c>
      <c r="I1093" t="s">
        <v>18</v>
      </c>
      <c r="J1093" t="s">
        <v>19</v>
      </c>
      <c r="K1093" s="8" t="s">
        <v>41</v>
      </c>
      <c r="L1093" s="8" t="s">
        <v>37</v>
      </c>
      <c r="M1093" s="8"/>
      <c r="N1093" s="8"/>
      <c r="O1093">
        <v>1</v>
      </c>
      <c r="P1093">
        <v>0</v>
      </c>
      <c r="Q1093">
        <v>1</v>
      </c>
      <c r="R1093">
        <v>0</v>
      </c>
      <c r="S1093">
        <v>0</v>
      </c>
      <c r="T1093">
        <v>0</v>
      </c>
      <c r="U1093">
        <v>0</v>
      </c>
      <c r="V1093">
        <v>0</v>
      </c>
      <c r="W1093">
        <v>0</v>
      </c>
      <c r="X1093">
        <v>0</v>
      </c>
      <c r="Y1093">
        <v>0</v>
      </c>
      <c r="AA1093" t="s">
        <v>1044</v>
      </c>
      <c r="AB1093" t="s">
        <v>1045</v>
      </c>
      <c r="AC1093" t="s">
        <v>1046</v>
      </c>
      <c r="AD1093" t="s">
        <v>1047</v>
      </c>
    </row>
    <row r="1094" spans="1:32">
      <c r="A1094" s="8">
        <v>2021</v>
      </c>
      <c r="B1094" s="8">
        <v>314</v>
      </c>
      <c r="D1094" s="8" t="s">
        <v>18</v>
      </c>
      <c r="F1094" t="s">
        <v>19</v>
      </c>
      <c r="G1094" s="8" t="s">
        <v>35</v>
      </c>
      <c r="I1094" t="s">
        <v>18</v>
      </c>
      <c r="J1094" t="s">
        <v>19</v>
      </c>
      <c r="K1094" s="8" t="s">
        <v>41</v>
      </c>
      <c r="L1094" s="8" t="s">
        <v>37</v>
      </c>
      <c r="M1094" s="8"/>
      <c r="N1094" s="8"/>
      <c r="O1094">
        <v>1</v>
      </c>
      <c r="P1094">
        <v>0</v>
      </c>
      <c r="Q1094">
        <v>0</v>
      </c>
      <c r="R1094">
        <v>0</v>
      </c>
      <c r="S1094">
        <v>0</v>
      </c>
      <c r="T1094">
        <v>0</v>
      </c>
      <c r="U1094">
        <v>0</v>
      </c>
      <c r="V1094">
        <v>0</v>
      </c>
      <c r="W1094">
        <v>0</v>
      </c>
      <c r="X1094">
        <v>0</v>
      </c>
      <c r="Y1094">
        <v>0</v>
      </c>
      <c r="AA1094" t="s">
        <v>1044</v>
      </c>
      <c r="AB1094" t="s">
        <v>1045</v>
      </c>
      <c r="AC1094" t="s">
        <v>1046</v>
      </c>
      <c r="AD1094" t="s">
        <v>1047</v>
      </c>
    </row>
    <row r="1095" spans="1:32">
      <c r="A1095" s="8">
        <v>2021</v>
      </c>
      <c r="B1095" s="8">
        <v>314</v>
      </c>
      <c r="D1095" s="8" t="s">
        <v>18</v>
      </c>
      <c r="F1095" t="s">
        <v>19</v>
      </c>
      <c r="G1095" s="8" t="s">
        <v>1131</v>
      </c>
      <c r="I1095" t="s">
        <v>18</v>
      </c>
      <c r="J1095" t="s">
        <v>19</v>
      </c>
      <c r="K1095" s="8" t="s">
        <v>41</v>
      </c>
      <c r="L1095" s="8" t="s">
        <v>37</v>
      </c>
      <c r="M1095" s="8"/>
      <c r="N1095" s="8"/>
      <c r="O1095">
        <v>1</v>
      </c>
      <c r="P1095">
        <v>0</v>
      </c>
      <c r="Q1095">
        <v>0</v>
      </c>
      <c r="R1095">
        <v>0</v>
      </c>
      <c r="S1095">
        <v>0</v>
      </c>
      <c r="T1095">
        <v>0</v>
      </c>
      <c r="U1095">
        <v>0</v>
      </c>
      <c r="V1095">
        <v>0</v>
      </c>
      <c r="W1095">
        <v>0</v>
      </c>
      <c r="X1095">
        <v>0</v>
      </c>
      <c r="Y1095">
        <v>0</v>
      </c>
      <c r="AA1095" t="s">
        <v>1044</v>
      </c>
      <c r="AB1095" t="s">
        <v>1045</v>
      </c>
      <c r="AC1095" t="s">
        <v>1046</v>
      </c>
      <c r="AD1095" t="s">
        <v>1047</v>
      </c>
    </row>
    <row r="1096" spans="1:32">
      <c r="A1096" s="8">
        <v>2021</v>
      </c>
      <c r="B1096" s="8">
        <v>314</v>
      </c>
      <c r="D1096" s="8" t="s">
        <v>18</v>
      </c>
      <c r="F1096" t="s">
        <v>19</v>
      </c>
      <c r="G1096" s="8" t="s">
        <v>26</v>
      </c>
      <c r="I1096" t="s">
        <v>18</v>
      </c>
      <c r="J1096" t="s">
        <v>19</v>
      </c>
      <c r="K1096" s="8" t="s">
        <v>41</v>
      </c>
      <c r="L1096" s="8" t="s">
        <v>37</v>
      </c>
      <c r="M1096" s="8"/>
      <c r="N1096" s="8"/>
      <c r="O1096">
        <v>1</v>
      </c>
      <c r="P1096">
        <v>0</v>
      </c>
      <c r="Q1096">
        <v>0</v>
      </c>
      <c r="R1096">
        <v>0</v>
      </c>
      <c r="S1096">
        <v>0</v>
      </c>
      <c r="T1096">
        <v>0</v>
      </c>
      <c r="U1096">
        <v>0</v>
      </c>
      <c r="V1096">
        <v>0</v>
      </c>
      <c r="W1096">
        <v>0</v>
      </c>
      <c r="X1096">
        <v>0</v>
      </c>
      <c r="Y1096">
        <v>0</v>
      </c>
      <c r="AA1096" t="s">
        <v>1044</v>
      </c>
      <c r="AB1096" t="s">
        <v>1045</v>
      </c>
      <c r="AC1096" t="s">
        <v>1046</v>
      </c>
      <c r="AD1096" t="s">
        <v>1047</v>
      </c>
    </row>
    <row r="1097" spans="1:32">
      <c r="A1097" s="8">
        <v>2021</v>
      </c>
      <c r="B1097" s="8">
        <v>315</v>
      </c>
      <c r="D1097" s="8" t="s">
        <v>18</v>
      </c>
      <c r="F1097" t="s">
        <v>19</v>
      </c>
      <c r="G1097" s="8" t="s">
        <v>26</v>
      </c>
      <c r="K1097" s="8" t="s">
        <v>25</v>
      </c>
      <c r="L1097" s="8" t="s">
        <v>26</v>
      </c>
      <c r="M1097" s="8"/>
      <c r="N1097" s="8"/>
      <c r="O1097">
        <v>0</v>
      </c>
      <c r="P1097">
        <v>0</v>
      </c>
      <c r="Q1097">
        <v>0</v>
      </c>
      <c r="R1097">
        <v>0</v>
      </c>
      <c r="S1097">
        <v>0</v>
      </c>
      <c r="T1097">
        <v>0</v>
      </c>
      <c r="U1097">
        <v>0</v>
      </c>
      <c r="V1097">
        <v>1</v>
      </c>
      <c r="W1097">
        <v>0</v>
      </c>
      <c r="X1097">
        <v>0</v>
      </c>
      <c r="Y1097">
        <v>0</v>
      </c>
      <c r="AA1097" t="s">
        <v>1048</v>
      </c>
      <c r="AB1097" t="s">
        <v>1049</v>
      </c>
      <c r="AD1097" t="s">
        <v>1050</v>
      </c>
      <c r="AF1097" t="s">
        <v>1051</v>
      </c>
    </row>
    <row r="1098" spans="1:32">
      <c r="A1098" s="8">
        <v>2021</v>
      </c>
      <c r="B1098" s="8">
        <v>316</v>
      </c>
      <c r="D1098" s="8" t="s">
        <v>18</v>
      </c>
      <c r="F1098" t="s">
        <v>19</v>
      </c>
      <c r="G1098" s="8" t="s">
        <v>37</v>
      </c>
      <c r="K1098" s="8" t="s">
        <v>41</v>
      </c>
      <c r="L1098" s="8" t="s">
        <v>1054</v>
      </c>
      <c r="M1098" s="8" t="s">
        <v>35</v>
      </c>
      <c r="N1098" s="8" t="s">
        <v>37</v>
      </c>
      <c r="O1098">
        <v>0</v>
      </c>
      <c r="P1098">
        <v>0</v>
      </c>
      <c r="Q1098">
        <v>0</v>
      </c>
      <c r="R1098">
        <v>1</v>
      </c>
      <c r="S1098">
        <v>0</v>
      </c>
      <c r="T1098">
        <v>0</v>
      </c>
      <c r="U1098">
        <v>0</v>
      </c>
      <c r="V1098">
        <v>0</v>
      </c>
      <c r="W1098">
        <v>0</v>
      </c>
      <c r="X1098">
        <v>0</v>
      </c>
      <c r="Y1098">
        <v>0</v>
      </c>
      <c r="AA1098" t="s">
        <v>1055</v>
      </c>
      <c r="AB1098" t="s">
        <v>1056</v>
      </c>
    </row>
    <row r="1099" spans="1:32">
      <c r="A1099" s="8">
        <v>2021</v>
      </c>
      <c r="B1099" s="8">
        <v>316</v>
      </c>
      <c r="D1099" s="8" t="s">
        <v>18</v>
      </c>
      <c r="F1099" t="s">
        <v>19</v>
      </c>
      <c r="G1099" s="8" t="s">
        <v>1131</v>
      </c>
      <c r="K1099" s="8" t="s">
        <v>41</v>
      </c>
      <c r="L1099" s="8" t="s">
        <v>1054</v>
      </c>
      <c r="M1099" s="8" t="s">
        <v>35</v>
      </c>
      <c r="N1099" s="8" t="s">
        <v>37</v>
      </c>
      <c r="O1099">
        <v>0</v>
      </c>
      <c r="P1099">
        <v>0</v>
      </c>
      <c r="Q1099">
        <v>0</v>
      </c>
      <c r="R1099">
        <v>1</v>
      </c>
      <c r="S1099">
        <v>0</v>
      </c>
      <c r="T1099">
        <v>0</v>
      </c>
      <c r="U1099">
        <v>0</v>
      </c>
      <c r="V1099">
        <v>0</v>
      </c>
      <c r="W1099">
        <v>0</v>
      </c>
      <c r="X1099">
        <v>0</v>
      </c>
      <c r="Y1099">
        <v>0</v>
      </c>
      <c r="AA1099" t="s">
        <v>1055</v>
      </c>
      <c r="AB1099" t="s">
        <v>1056</v>
      </c>
    </row>
    <row r="1100" spans="1:32">
      <c r="A1100" s="8">
        <v>2021</v>
      </c>
      <c r="B1100" s="8">
        <v>316</v>
      </c>
      <c r="D1100" s="8" t="s">
        <v>18</v>
      </c>
      <c r="F1100" t="s">
        <v>19</v>
      </c>
      <c r="G1100" s="8" t="s">
        <v>35</v>
      </c>
      <c r="K1100" s="8" t="s">
        <v>41</v>
      </c>
      <c r="L1100" s="8" t="s">
        <v>1054</v>
      </c>
      <c r="M1100" s="8" t="s">
        <v>35</v>
      </c>
      <c r="N1100" s="8" t="s">
        <v>37</v>
      </c>
      <c r="O1100">
        <v>0</v>
      </c>
      <c r="P1100">
        <v>0</v>
      </c>
      <c r="Q1100">
        <v>0</v>
      </c>
      <c r="R1100">
        <v>1</v>
      </c>
      <c r="S1100">
        <v>0</v>
      </c>
      <c r="T1100">
        <v>0</v>
      </c>
      <c r="U1100">
        <v>0</v>
      </c>
      <c r="V1100">
        <v>0</v>
      </c>
      <c r="W1100">
        <v>0</v>
      </c>
      <c r="X1100">
        <v>0</v>
      </c>
      <c r="Y1100">
        <v>0</v>
      </c>
      <c r="AA1100" t="s">
        <v>1055</v>
      </c>
      <c r="AB1100" t="s">
        <v>1056</v>
      </c>
    </row>
    <row r="1101" spans="1:32">
      <c r="A1101" s="8">
        <v>2021</v>
      </c>
      <c r="B1101" s="8">
        <v>316</v>
      </c>
      <c r="D1101" s="8" t="s">
        <v>18</v>
      </c>
      <c r="F1101" t="s">
        <v>19</v>
      </c>
      <c r="G1101" s="8" t="s">
        <v>1054</v>
      </c>
      <c r="K1101" s="8" t="s">
        <v>41</v>
      </c>
      <c r="L1101" s="8" t="s">
        <v>1054</v>
      </c>
      <c r="M1101" s="8" t="s">
        <v>35</v>
      </c>
      <c r="N1101" s="8" t="s">
        <v>37</v>
      </c>
      <c r="O1101">
        <v>0</v>
      </c>
      <c r="P1101">
        <v>0</v>
      </c>
      <c r="Q1101">
        <v>0</v>
      </c>
      <c r="R1101">
        <v>1</v>
      </c>
      <c r="S1101">
        <v>0</v>
      </c>
      <c r="T1101">
        <v>0</v>
      </c>
      <c r="U1101">
        <v>0</v>
      </c>
      <c r="V1101">
        <v>0</v>
      </c>
      <c r="W1101">
        <v>0</v>
      </c>
      <c r="X1101">
        <v>0</v>
      </c>
      <c r="Y1101">
        <v>0</v>
      </c>
      <c r="AA1101" t="s">
        <v>1055</v>
      </c>
      <c r="AB1101" t="s">
        <v>1056</v>
      </c>
    </row>
    <row r="1102" spans="1:32">
      <c r="A1102" s="8">
        <v>2021</v>
      </c>
      <c r="B1102" s="8">
        <v>317</v>
      </c>
      <c r="D1102" s="8" t="s">
        <v>18</v>
      </c>
      <c r="F1102" t="s">
        <v>19</v>
      </c>
      <c r="G1102" s="8" t="s">
        <v>37</v>
      </c>
      <c r="I1102" t="s">
        <v>18</v>
      </c>
      <c r="J1102" t="s">
        <v>19</v>
      </c>
      <c r="K1102" s="8" t="s">
        <v>41</v>
      </c>
      <c r="L1102" s="8" t="s">
        <v>37</v>
      </c>
      <c r="M1102" s="8"/>
      <c r="N1102" s="8"/>
      <c r="O1102">
        <v>1</v>
      </c>
      <c r="P1102">
        <v>0</v>
      </c>
      <c r="Q1102">
        <v>1</v>
      </c>
      <c r="R1102">
        <v>0</v>
      </c>
      <c r="S1102">
        <v>0</v>
      </c>
      <c r="T1102">
        <v>0</v>
      </c>
      <c r="U1102">
        <v>0</v>
      </c>
      <c r="V1102">
        <v>0</v>
      </c>
      <c r="W1102">
        <v>0</v>
      </c>
      <c r="X1102">
        <v>0</v>
      </c>
      <c r="Y1102">
        <v>0</v>
      </c>
      <c r="AA1102" t="s">
        <v>1057</v>
      </c>
      <c r="AB1102" t="s">
        <v>1058</v>
      </c>
    </row>
    <row r="1103" spans="1:32">
      <c r="A1103" s="8">
        <v>2021</v>
      </c>
      <c r="B1103" s="8">
        <v>318</v>
      </c>
      <c r="D1103" s="8" t="s">
        <v>18</v>
      </c>
      <c r="F1103" t="s">
        <v>19</v>
      </c>
      <c r="G1103" s="8" t="s">
        <v>35</v>
      </c>
      <c r="I1103" t="s">
        <v>18</v>
      </c>
      <c r="J1103" t="s">
        <v>19</v>
      </c>
      <c r="K1103" s="8" t="s">
        <v>25</v>
      </c>
      <c r="L1103" s="8" t="s">
        <v>60</v>
      </c>
      <c r="M1103" s="8"/>
      <c r="N1103" s="8"/>
      <c r="O1103">
        <v>1</v>
      </c>
      <c r="P1103">
        <v>1</v>
      </c>
      <c r="Q1103">
        <v>1</v>
      </c>
      <c r="R1103">
        <v>0</v>
      </c>
      <c r="S1103">
        <v>0</v>
      </c>
      <c r="T1103">
        <v>0</v>
      </c>
      <c r="U1103">
        <v>0</v>
      </c>
      <c r="V1103">
        <v>0</v>
      </c>
      <c r="W1103">
        <v>0</v>
      </c>
      <c r="X1103">
        <v>0</v>
      </c>
      <c r="Y1103">
        <v>0</v>
      </c>
      <c r="AA1103" t="s">
        <v>1059</v>
      </c>
      <c r="AB1103" t="s">
        <v>1060</v>
      </c>
    </row>
    <row r="1104" spans="1:32">
      <c r="A1104" s="8">
        <v>2021</v>
      </c>
      <c r="B1104" s="8">
        <v>318</v>
      </c>
      <c r="D1104" s="8" t="s">
        <v>18</v>
      </c>
      <c r="F1104" t="s">
        <v>19</v>
      </c>
      <c r="G1104" s="8" t="s">
        <v>60</v>
      </c>
      <c r="H1104" t="s">
        <v>61</v>
      </c>
      <c r="I1104" t="s">
        <v>18</v>
      </c>
      <c r="J1104" t="s">
        <v>19</v>
      </c>
      <c r="K1104" s="8" t="s">
        <v>25</v>
      </c>
      <c r="L1104" s="8" t="s">
        <v>60</v>
      </c>
      <c r="M1104" s="8"/>
      <c r="N1104" s="8"/>
      <c r="O1104">
        <v>1</v>
      </c>
      <c r="P1104">
        <v>1</v>
      </c>
      <c r="Q1104">
        <v>1</v>
      </c>
      <c r="R1104">
        <v>0</v>
      </c>
      <c r="S1104">
        <v>0</v>
      </c>
      <c r="T1104">
        <v>0</v>
      </c>
      <c r="U1104">
        <v>0</v>
      </c>
      <c r="V1104">
        <v>0</v>
      </c>
      <c r="W1104">
        <v>0</v>
      </c>
      <c r="X1104">
        <v>0</v>
      </c>
      <c r="Y1104">
        <v>0</v>
      </c>
      <c r="AA1104" t="s">
        <v>1059</v>
      </c>
      <c r="AB1104" t="s">
        <v>1060</v>
      </c>
    </row>
    <row r="1105" spans="1:30">
      <c r="A1105" s="8">
        <v>2021</v>
      </c>
      <c r="B1105" s="8">
        <v>319</v>
      </c>
      <c r="D1105" s="8" t="s">
        <v>18</v>
      </c>
      <c r="F1105" t="s">
        <v>19</v>
      </c>
      <c r="G1105" s="8" t="s">
        <v>37</v>
      </c>
      <c r="I1105" t="s">
        <v>18</v>
      </c>
      <c r="J1105" t="s">
        <v>19</v>
      </c>
      <c r="K1105" s="8" t="s">
        <v>41</v>
      </c>
      <c r="L1105" s="8" t="s">
        <v>37</v>
      </c>
      <c r="M1105" s="8"/>
      <c r="N1105" s="8"/>
      <c r="O1105">
        <v>1</v>
      </c>
      <c r="P1105">
        <v>0</v>
      </c>
      <c r="Q1105">
        <v>0</v>
      </c>
      <c r="R1105">
        <v>0</v>
      </c>
      <c r="S1105">
        <v>0</v>
      </c>
      <c r="T1105">
        <v>0</v>
      </c>
      <c r="U1105">
        <v>0</v>
      </c>
      <c r="V1105">
        <v>0</v>
      </c>
      <c r="W1105">
        <v>0</v>
      </c>
      <c r="X1105">
        <v>0</v>
      </c>
      <c r="Y1105">
        <v>0</v>
      </c>
      <c r="AA1105" t="s">
        <v>1063</v>
      </c>
      <c r="AB1105" t="s">
        <v>1064</v>
      </c>
      <c r="AC1105" t="s">
        <v>1065</v>
      </c>
      <c r="AD1105" t="s">
        <v>1066</v>
      </c>
    </row>
    <row r="1106" spans="1:30">
      <c r="A1106" s="8">
        <v>2021</v>
      </c>
      <c r="B1106" s="8">
        <v>320</v>
      </c>
      <c r="D1106" s="8" t="s">
        <v>18</v>
      </c>
      <c r="F1106" t="s">
        <v>19</v>
      </c>
      <c r="G1106" s="8" t="s">
        <v>965</v>
      </c>
      <c r="I1106" t="s">
        <v>204</v>
      </c>
      <c r="J1106" t="s">
        <v>207</v>
      </c>
      <c r="K1106" s="8" t="s">
        <v>201</v>
      </c>
      <c r="L1106" s="8" t="s">
        <v>965</v>
      </c>
      <c r="M1106" s="8"/>
      <c r="N1106" s="8"/>
      <c r="O1106">
        <v>1</v>
      </c>
      <c r="P1106">
        <v>1</v>
      </c>
      <c r="Q1106">
        <v>1</v>
      </c>
      <c r="R1106">
        <v>0</v>
      </c>
      <c r="S1106">
        <v>0</v>
      </c>
      <c r="T1106">
        <v>0</v>
      </c>
      <c r="U1106">
        <v>0</v>
      </c>
      <c r="V1106">
        <v>0</v>
      </c>
      <c r="W1106">
        <v>0</v>
      </c>
      <c r="X1106">
        <v>0</v>
      </c>
      <c r="Y1106">
        <v>0</v>
      </c>
      <c r="AA1106" t="s">
        <v>1068</v>
      </c>
      <c r="AB1106" t="s">
        <v>1067</v>
      </c>
    </row>
    <row r="1107" spans="1:30">
      <c r="A1107" s="8">
        <v>2021</v>
      </c>
      <c r="B1107" s="8">
        <v>321</v>
      </c>
      <c r="D1107" s="8" t="s">
        <v>18</v>
      </c>
      <c r="F1107" t="s">
        <v>19</v>
      </c>
      <c r="G1107" s="8" t="s">
        <v>35</v>
      </c>
      <c r="I1107" t="s">
        <v>18</v>
      </c>
      <c r="J1107" t="s">
        <v>19</v>
      </c>
      <c r="K1107" s="8" t="s">
        <v>25</v>
      </c>
      <c r="L1107" s="8" t="s">
        <v>35</v>
      </c>
      <c r="M1107" s="8"/>
      <c r="N1107" s="8"/>
      <c r="O1107">
        <v>1</v>
      </c>
      <c r="P1107">
        <v>1</v>
      </c>
      <c r="Q1107">
        <v>0</v>
      </c>
      <c r="R1107">
        <v>0</v>
      </c>
      <c r="S1107">
        <v>0</v>
      </c>
      <c r="T1107">
        <v>0</v>
      </c>
      <c r="U1107">
        <v>0</v>
      </c>
      <c r="V1107">
        <v>0</v>
      </c>
      <c r="W1107">
        <v>0</v>
      </c>
      <c r="X1107">
        <v>0</v>
      </c>
      <c r="Y1107">
        <v>0</v>
      </c>
      <c r="AA1107" t="s">
        <v>1069</v>
      </c>
      <c r="AB1107" t="s">
        <v>1067</v>
      </c>
    </row>
    <row r="1108" spans="1:30">
      <c r="A1108" s="8">
        <v>2021</v>
      </c>
      <c r="B1108" s="8">
        <v>322</v>
      </c>
      <c r="D1108" s="8" t="s">
        <v>18</v>
      </c>
      <c r="F1108" t="s">
        <v>19</v>
      </c>
      <c r="G1108" s="8" t="s">
        <v>35</v>
      </c>
      <c r="I1108" t="s">
        <v>18</v>
      </c>
      <c r="J1108" t="s">
        <v>19</v>
      </c>
      <c r="K1108" s="8" t="s">
        <v>41</v>
      </c>
      <c r="L1108" s="8"/>
      <c r="M1108" s="8"/>
      <c r="N1108" s="8"/>
      <c r="O1108">
        <v>0</v>
      </c>
      <c r="P1108">
        <v>0</v>
      </c>
      <c r="Q1108">
        <v>0</v>
      </c>
      <c r="R1108">
        <v>0</v>
      </c>
      <c r="S1108">
        <v>0</v>
      </c>
      <c r="T1108">
        <v>0</v>
      </c>
      <c r="U1108">
        <v>0</v>
      </c>
      <c r="V1108">
        <v>1</v>
      </c>
      <c r="W1108">
        <v>0</v>
      </c>
      <c r="X1108">
        <v>0</v>
      </c>
      <c r="Y1108">
        <v>0</v>
      </c>
      <c r="AA1108" t="s">
        <v>1070</v>
      </c>
      <c r="AB1108" t="s">
        <v>1071</v>
      </c>
      <c r="AC1108" t="s">
        <v>1072</v>
      </c>
    </row>
    <row r="1109" spans="1:30">
      <c r="A1109" s="8">
        <v>2021</v>
      </c>
      <c r="B1109" s="8">
        <v>322</v>
      </c>
      <c r="D1109" s="8" t="s">
        <v>18</v>
      </c>
      <c r="F1109" t="s">
        <v>19</v>
      </c>
      <c r="G1109" s="8" t="s">
        <v>484</v>
      </c>
      <c r="H1109" t="s">
        <v>486</v>
      </c>
      <c r="I1109" t="s">
        <v>18</v>
      </c>
      <c r="J1109" t="s">
        <v>19</v>
      </c>
      <c r="K1109" s="8" t="s">
        <v>41</v>
      </c>
      <c r="L1109" s="8"/>
      <c r="M1109" s="8"/>
      <c r="N1109" s="8"/>
      <c r="O1109">
        <v>0</v>
      </c>
      <c r="P1109">
        <v>0</v>
      </c>
      <c r="Q1109">
        <v>0</v>
      </c>
      <c r="R1109">
        <v>0</v>
      </c>
      <c r="S1109">
        <v>0</v>
      </c>
      <c r="T1109">
        <v>0</v>
      </c>
      <c r="U1109">
        <v>0</v>
      </c>
      <c r="V1109">
        <v>1</v>
      </c>
      <c r="W1109">
        <v>0</v>
      </c>
      <c r="X1109">
        <v>0</v>
      </c>
      <c r="Y1109">
        <v>0</v>
      </c>
      <c r="AA1109" t="s">
        <v>1070</v>
      </c>
      <c r="AB1109" t="s">
        <v>1071</v>
      </c>
      <c r="AC1109" t="s">
        <v>1072</v>
      </c>
    </row>
    <row r="1110" spans="1:30">
      <c r="A1110" s="8">
        <v>2021</v>
      </c>
      <c r="B1110" s="8">
        <v>322</v>
      </c>
      <c r="D1110" s="8" t="s">
        <v>18</v>
      </c>
      <c r="F1110" t="s">
        <v>19</v>
      </c>
      <c r="G1110" s="8" t="s">
        <v>22</v>
      </c>
      <c r="H1110" t="s">
        <v>24</v>
      </c>
      <c r="I1110" t="s">
        <v>18</v>
      </c>
      <c r="J1110" t="s">
        <v>19</v>
      </c>
      <c r="K1110" s="8" t="s">
        <v>41</v>
      </c>
      <c r="L1110" s="8"/>
      <c r="M1110" s="8"/>
      <c r="N1110" s="8"/>
      <c r="O1110">
        <v>0</v>
      </c>
      <c r="P1110">
        <v>0</v>
      </c>
      <c r="Q1110">
        <v>0</v>
      </c>
      <c r="R1110">
        <v>0</v>
      </c>
      <c r="S1110">
        <v>0</v>
      </c>
      <c r="T1110">
        <v>0</v>
      </c>
      <c r="U1110">
        <v>0</v>
      </c>
      <c r="V1110">
        <v>1</v>
      </c>
      <c r="W1110">
        <v>0</v>
      </c>
      <c r="X1110">
        <v>0</v>
      </c>
      <c r="Y1110">
        <v>0</v>
      </c>
      <c r="AA1110" t="s">
        <v>1070</v>
      </c>
      <c r="AB1110" t="s">
        <v>1071</v>
      </c>
      <c r="AC1110" t="s">
        <v>1072</v>
      </c>
    </row>
    <row r="1111" spans="1:30">
      <c r="A1111" s="8">
        <v>2021</v>
      </c>
      <c r="B1111" s="8">
        <v>322</v>
      </c>
      <c r="D1111" s="8" t="s">
        <v>18</v>
      </c>
      <c r="F1111" t="s">
        <v>19</v>
      </c>
      <c r="G1111" s="8" t="s">
        <v>152</v>
      </c>
      <c r="H1111" t="s">
        <v>184</v>
      </c>
      <c r="I1111" t="s">
        <v>18</v>
      </c>
      <c r="J1111" t="s">
        <v>19</v>
      </c>
      <c r="K1111" s="8" t="s">
        <v>41</v>
      </c>
      <c r="L1111" s="8"/>
      <c r="M1111" s="8"/>
      <c r="N1111" s="8"/>
      <c r="O1111">
        <v>0</v>
      </c>
      <c r="P1111">
        <v>0</v>
      </c>
      <c r="Q1111">
        <v>0</v>
      </c>
      <c r="R1111">
        <v>0</v>
      </c>
      <c r="S1111">
        <v>0</v>
      </c>
      <c r="T1111">
        <v>0</v>
      </c>
      <c r="U1111">
        <v>0</v>
      </c>
      <c r="V1111">
        <v>1</v>
      </c>
      <c r="W1111">
        <v>0</v>
      </c>
      <c r="X1111">
        <v>0</v>
      </c>
      <c r="Y1111">
        <v>0</v>
      </c>
      <c r="AA1111" t="s">
        <v>1070</v>
      </c>
      <c r="AB1111" t="s">
        <v>1071</v>
      </c>
      <c r="AC1111" t="s">
        <v>1072</v>
      </c>
    </row>
    <row r="1112" spans="1:30">
      <c r="A1112" s="8">
        <v>2021</v>
      </c>
      <c r="B1112" s="8">
        <v>322</v>
      </c>
      <c r="D1112" s="8" t="s">
        <v>18</v>
      </c>
      <c r="F1112" t="s">
        <v>19</v>
      </c>
      <c r="G1112" s="8" t="s">
        <v>203</v>
      </c>
      <c r="H1112" t="s">
        <v>206</v>
      </c>
      <c r="I1112" t="s">
        <v>18</v>
      </c>
      <c r="J1112" t="s">
        <v>19</v>
      </c>
      <c r="K1112" s="8" t="s">
        <v>41</v>
      </c>
      <c r="L1112" s="8"/>
      <c r="M1112" s="8"/>
      <c r="N1112" s="8"/>
      <c r="O1112">
        <v>0</v>
      </c>
      <c r="P1112">
        <v>0</v>
      </c>
      <c r="Q1112">
        <v>0</v>
      </c>
      <c r="R1112">
        <v>0</v>
      </c>
      <c r="S1112">
        <v>0</v>
      </c>
      <c r="T1112">
        <v>0</v>
      </c>
      <c r="U1112">
        <v>0</v>
      </c>
      <c r="V1112">
        <v>1</v>
      </c>
      <c r="W1112">
        <v>0</v>
      </c>
      <c r="X1112">
        <v>0</v>
      </c>
      <c r="Y1112">
        <v>0</v>
      </c>
      <c r="AA1112" t="s">
        <v>1070</v>
      </c>
      <c r="AB1112" t="s">
        <v>1071</v>
      </c>
      <c r="AC1112" t="s">
        <v>1072</v>
      </c>
    </row>
    <row r="1113" spans="1:30">
      <c r="A1113" s="8">
        <v>2021</v>
      </c>
      <c r="B1113" s="8">
        <v>322</v>
      </c>
      <c r="D1113" s="8" t="s">
        <v>18</v>
      </c>
      <c r="F1113" t="s">
        <v>19</v>
      </c>
      <c r="G1113" s="8" t="s">
        <v>60</v>
      </c>
      <c r="H1113" t="s">
        <v>61</v>
      </c>
      <c r="I1113" t="s">
        <v>18</v>
      </c>
      <c r="J1113" t="s">
        <v>19</v>
      </c>
      <c r="K1113" s="8" t="s">
        <v>41</v>
      </c>
      <c r="L1113" s="8"/>
      <c r="M1113" s="8"/>
      <c r="N1113" s="8"/>
      <c r="O1113">
        <v>0</v>
      </c>
      <c r="P1113">
        <v>0</v>
      </c>
      <c r="Q1113">
        <v>0</v>
      </c>
      <c r="R1113">
        <v>0</v>
      </c>
      <c r="S1113">
        <v>0</v>
      </c>
      <c r="T1113">
        <v>0</v>
      </c>
      <c r="U1113">
        <v>0</v>
      </c>
      <c r="V1113">
        <v>1</v>
      </c>
      <c r="W1113">
        <v>0</v>
      </c>
      <c r="X1113">
        <v>0</v>
      </c>
      <c r="Y1113">
        <v>0</v>
      </c>
      <c r="AA1113" t="s">
        <v>1070</v>
      </c>
      <c r="AB1113" t="s">
        <v>1071</v>
      </c>
      <c r="AC1113" t="s">
        <v>1072</v>
      </c>
    </row>
    <row r="1114" spans="1:30">
      <c r="A1114" s="8">
        <v>2021</v>
      </c>
      <c r="B1114" s="8">
        <v>322</v>
      </c>
      <c r="D1114" s="8" t="s">
        <v>18</v>
      </c>
      <c r="F1114" t="s">
        <v>19</v>
      </c>
      <c r="G1114" s="8" t="s">
        <v>192</v>
      </c>
      <c r="H1114" t="s">
        <v>195</v>
      </c>
      <c r="I1114" t="s">
        <v>18</v>
      </c>
      <c r="J1114" t="s">
        <v>19</v>
      </c>
      <c r="K1114" s="8" t="s">
        <v>41</v>
      </c>
      <c r="L1114" s="8"/>
      <c r="M1114" s="8"/>
      <c r="N1114" s="8"/>
      <c r="O1114">
        <v>0</v>
      </c>
      <c r="P1114">
        <v>0</v>
      </c>
      <c r="Q1114">
        <v>0</v>
      </c>
      <c r="R1114">
        <v>0</v>
      </c>
      <c r="S1114">
        <v>0</v>
      </c>
      <c r="T1114">
        <v>0</v>
      </c>
      <c r="U1114">
        <v>0</v>
      </c>
      <c r="V1114">
        <v>1</v>
      </c>
      <c r="W1114">
        <v>0</v>
      </c>
      <c r="X1114">
        <v>0</v>
      </c>
      <c r="Y1114">
        <v>0</v>
      </c>
      <c r="AA1114" t="s">
        <v>1070</v>
      </c>
      <c r="AB1114" t="s">
        <v>1071</v>
      </c>
      <c r="AC1114" t="s">
        <v>1072</v>
      </c>
    </row>
    <row r="1115" spans="1:30">
      <c r="A1115" s="8">
        <v>2021</v>
      </c>
      <c r="B1115" s="8">
        <v>322</v>
      </c>
      <c r="D1115" s="8" t="s">
        <v>18</v>
      </c>
      <c r="F1115" t="s">
        <v>19</v>
      </c>
      <c r="G1115" s="8" t="s">
        <v>37</v>
      </c>
      <c r="I1115" t="s">
        <v>18</v>
      </c>
      <c r="J1115" t="s">
        <v>19</v>
      </c>
      <c r="K1115" s="8" t="s">
        <v>41</v>
      </c>
      <c r="L1115" s="8"/>
      <c r="M1115" s="8"/>
      <c r="N1115" s="8"/>
      <c r="O1115">
        <v>0</v>
      </c>
      <c r="P1115">
        <v>0</v>
      </c>
      <c r="Q1115">
        <v>1</v>
      </c>
      <c r="R1115">
        <v>0</v>
      </c>
      <c r="S1115">
        <v>0</v>
      </c>
      <c r="T1115">
        <v>0</v>
      </c>
      <c r="U1115">
        <v>0</v>
      </c>
      <c r="V1115">
        <v>1</v>
      </c>
      <c r="W1115">
        <v>0</v>
      </c>
      <c r="X1115">
        <v>0</v>
      </c>
      <c r="Y1115">
        <v>0</v>
      </c>
      <c r="AA1115" t="s">
        <v>1070</v>
      </c>
      <c r="AB1115" t="s">
        <v>1071</v>
      </c>
      <c r="AC1115" t="s">
        <v>1072</v>
      </c>
    </row>
    <row r="1116" spans="1:30">
      <c r="A1116" s="8">
        <v>2021</v>
      </c>
      <c r="B1116" s="8">
        <v>323</v>
      </c>
      <c r="D1116" s="8" t="s">
        <v>18</v>
      </c>
      <c r="F1116" t="s">
        <v>19</v>
      </c>
      <c r="G1116" s="8" t="s">
        <v>37</v>
      </c>
      <c r="I1116" t="s">
        <v>18</v>
      </c>
      <c r="J1116" t="s">
        <v>19</v>
      </c>
      <c r="K1116" s="8" t="s">
        <v>41</v>
      </c>
      <c r="L1116" s="8" t="s">
        <v>37</v>
      </c>
      <c r="M1116" s="8"/>
      <c r="N1116" s="8"/>
      <c r="O1116">
        <v>1</v>
      </c>
      <c r="P1116">
        <v>0</v>
      </c>
      <c r="Q1116">
        <v>1</v>
      </c>
      <c r="R1116">
        <v>0</v>
      </c>
      <c r="S1116">
        <v>0</v>
      </c>
      <c r="T1116">
        <v>0</v>
      </c>
      <c r="U1116">
        <v>0</v>
      </c>
      <c r="V1116">
        <v>0</v>
      </c>
      <c r="W1116">
        <v>0</v>
      </c>
      <c r="X1116">
        <v>0</v>
      </c>
      <c r="Y1116">
        <v>0</v>
      </c>
      <c r="AA1116" t="s">
        <v>1073</v>
      </c>
      <c r="AB1116" t="s">
        <v>1074</v>
      </c>
    </row>
    <row r="1117" spans="1:30">
      <c r="A1117" s="8">
        <v>2021</v>
      </c>
      <c r="B1117" s="8">
        <v>324</v>
      </c>
      <c r="D1117" s="8" t="s">
        <v>18</v>
      </c>
      <c r="F1117" t="s">
        <v>19</v>
      </c>
      <c r="G1117" s="8" t="s">
        <v>60</v>
      </c>
      <c r="H1117" t="s">
        <v>61</v>
      </c>
      <c r="I1117" t="s">
        <v>60</v>
      </c>
      <c r="J1117" t="s">
        <v>61</v>
      </c>
      <c r="K1117" s="8" t="s">
        <v>65</v>
      </c>
      <c r="L1117" s="8" t="s">
        <v>60</v>
      </c>
      <c r="M1117" s="8"/>
      <c r="N1117" s="8"/>
      <c r="O1117">
        <v>0</v>
      </c>
      <c r="P1117">
        <v>1</v>
      </c>
      <c r="Q1117">
        <v>1</v>
      </c>
      <c r="R1117">
        <v>0</v>
      </c>
      <c r="S1117">
        <v>0</v>
      </c>
      <c r="T1117">
        <v>0</v>
      </c>
      <c r="U1117">
        <v>0</v>
      </c>
      <c r="V1117">
        <v>0</v>
      </c>
      <c r="W1117">
        <v>0</v>
      </c>
      <c r="X1117">
        <v>0</v>
      </c>
      <c r="Y1117">
        <v>0</v>
      </c>
      <c r="AA1117" t="s">
        <v>1098</v>
      </c>
    </row>
    <row r="1118" spans="1:30" ht="31">
      <c r="A1118" s="8">
        <v>2021</v>
      </c>
      <c r="B1118" s="8">
        <v>325</v>
      </c>
      <c r="D1118" s="8" t="s">
        <v>18</v>
      </c>
      <c r="F1118" t="s">
        <v>19</v>
      </c>
      <c r="G1118" s="8" t="s">
        <v>35</v>
      </c>
      <c r="I1118" t="s">
        <v>152</v>
      </c>
      <c r="J1118" t="s">
        <v>184</v>
      </c>
      <c r="K1118" s="8" t="s">
        <v>41</v>
      </c>
      <c r="L1118" s="8" t="s">
        <v>37</v>
      </c>
      <c r="M1118" s="8"/>
      <c r="N1118" s="8"/>
      <c r="O1118">
        <v>1</v>
      </c>
      <c r="P1118">
        <v>0</v>
      </c>
      <c r="Q1118">
        <v>0</v>
      </c>
      <c r="R1118">
        <v>0</v>
      </c>
      <c r="S1118">
        <v>0</v>
      </c>
      <c r="T1118">
        <v>0</v>
      </c>
      <c r="U1118">
        <v>0</v>
      </c>
      <c r="V1118">
        <v>0</v>
      </c>
      <c r="W1118">
        <v>1</v>
      </c>
      <c r="X1118">
        <v>0</v>
      </c>
      <c r="Y1118">
        <v>0</v>
      </c>
      <c r="Z1118" s="19" t="s">
        <v>1086</v>
      </c>
      <c r="AA1118" t="s">
        <v>1085</v>
      </c>
      <c r="AB1118" t="s">
        <v>1082</v>
      </c>
      <c r="AC1118" t="s">
        <v>1096</v>
      </c>
      <c r="AD1118" t="s">
        <v>1097</v>
      </c>
    </row>
    <row r="1119" spans="1:30">
      <c r="A1119" s="8">
        <v>2021</v>
      </c>
      <c r="B1119" s="8">
        <v>325</v>
      </c>
      <c r="D1119" s="8" t="s">
        <v>18</v>
      </c>
      <c r="F1119" t="s">
        <v>19</v>
      </c>
      <c r="G1119" s="8" t="s">
        <v>26</v>
      </c>
      <c r="I1119" t="s">
        <v>152</v>
      </c>
      <c r="J1119" t="s">
        <v>184</v>
      </c>
      <c r="K1119" s="8" t="s">
        <v>41</v>
      </c>
      <c r="L1119" s="8" t="s">
        <v>37</v>
      </c>
      <c r="M1119" s="8"/>
      <c r="N1119" s="8"/>
      <c r="O1119">
        <v>1</v>
      </c>
      <c r="P1119">
        <v>0</v>
      </c>
      <c r="Q1119">
        <v>0</v>
      </c>
      <c r="R1119">
        <v>0</v>
      </c>
      <c r="S1119">
        <v>0</v>
      </c>
      <c r="T1119">
        <v>0</v>
      </c>
      <c r="U1119">
        <v>0</v>
      </c>
      <c r="V1119">
        <v>0</v>
      </c>
      <c r="W1119">
        <v>1</v>
      </c>
      <c r="X1119">
        <v>0</v>
      </c>
      <c r="Y1119">
        <v>0</v>
      </c>
      <c r="Z1119" t="s">
        <v>1086</v>
      </c>
      <c r="AA1119" t="s">
        <v>1081</v>
      </c>
      <c r="AB1119" t="s">
        <v>1082</v>
      </c>
      <c r="AC1119" t="s">
        <v>1096</v>
      </c>
    </row>
    <row r="1120" spans="1:30">
      <c r="A1120" s="8">
        <v>2021</v>
      </c>
      <c r="B1120" s="8">
        <v>325</v>
      </c>
      <c r="D1120" s="8" t="s">
        <v>18</v>
      </c>
      <c r="F1120" t="s">
        <v>19</v>
      </c>
      <c r="G1120" s="8" t="s">
        <v>37</v>
      </c>
      <c r="I1120" t="s">
        <v>152</v>
      </c>
      <c r="J1120" t="s">
        <v>184</v>
      </c>
      <c r="K1120" s="8" t="s">
        <v>41</v>
      </c>
      <c r="L1120" s="8" t="s">
        <v>37</v>
      </c>
      <c r="M1120" s="8"/>
      <c r="N1120" s="8"/>
      <c r="O1120">
        <v>1</v>
      </c>
      <c r="P1120">
        <v>0</v>
      </c>
      <c r="Q1120">
        <v>1</v>
      </c>
      <c r="R1120">
        <v>0</v>
      </c>
      <c r="S1120">
        <v>0</v>
      </c>
      <c r="T1120">
        <v>0</v>
      </c>
      <c r="U1120">
        <v>0</v>
      </c>
      <c r="V1120">
        <v>0</v>
      </c>
      <c r="W1120">
        <v>1</v>
      </c>
      <c r="X1120">
        <v>0</v>
      </c>
      <c r="Y1120">
        <v>0</v>
      </c>
      <c r="Z1120" t="s">
        <v>1086</v>
      </c>
      <c r="AA1120" t="s">
        <v>1081</v>
      </c>
      <c r="AB1120" t="s">
        <v>1082</v>
      </c>
      <c r="AC1120" t="s">
        <v>1096</v>
      </c>
    </row>
    <row r="1121" spans="1:45">
      <c r="A1121" s="8">
        <v>2021</v>
      </c>
      <c r="B1121" s="8">
        <v>326</v>
      </c>
      <c r="D1121" s="8" t="s">
        <v>18</v>
      </c>
      <c r="F1121" t="s">
        <v>19</v>
      </c>
      <c r="G1121" s="8" t="s">
        <v>37</v>
      </c>
      <c r="I1121" t="s">
        <v>18</v>
      </c>
      <c r="J1121" t="s">
        <v>19</v>
      </c>
      <c r="K1121" s="8" t="s">
        <v>41</v>
      </c>
      <c r="L1121" s="8" t="s">
        <v>37</v>
      </c>
      <c r="M1121" s="8"/>
      <c r="N1121" s="8"/>
      <c r="O1121">
        <v>1</v>
      </c>
      <c r="P1121">
        <v>0</v>
      </c>
      <c r="Q1121">
        <v>1</v>
      </c>
      <c r="R1121">
        <v>0</v>
      </c>
      <c r="S1121">
        <v>0</v>
      </c>
      <c r="T1121">
        <v>0</v>
      </c>
      <c r="U1121">
        <v>0</v>
      </c>
      <c r="V1121">
        <v>1</v>
      </c>
      <c r="W1121">
        <v>0</v>
      </c>
      <c r="X1121">
        <v>0</v>
      </c>
      <c r="Y1121">
        <v>0</v>
      </c>
      <c r="AA1121" t="s">
        <v>1092</v>
      </c>
      <c r="AB1121" t="s">
        <v>1093</v>
      </c>
      <c r="AC1121" t="s">
        <v>1094</v>
      </c>
      <c r="AD1121" t="s">
        <v>1095</v>
      </c>
    </row>
    <row r="1122" spans="1:45">
      <c r="A1122">
        <v>2022</v>
      </c>
      <c r="B1122" s="8">
        <v>327</v>
      </c>
      <c r="D1122" s="8" t="s">
        <v>60</v>
      </c>
      <c r="F1122" t="s">
        <v>61</v>
      </c>
      <c r="G1122" s="8" t="s">
        <v>37</v>
      </c>
      <c r="I1122" t="s">
        <v>60</v>
      </c>
      <c r="J1122" t="s">
        <v>61</v>
      </c>
      <c r="K1122" s="8" t="s">
        <v>41</v>
      </c>
      <c r="L1122" t="s">
        <v>37</v>
      </c>
      <c r="O1122">
        <v>1</v>
      </c>
      <c r="P1122">
        <v>0</v>
      </c>
      <c r="Q1122">
        <v>1</v>
      </c>
      <c r="R1122">
        <v>0</v>
      </c>
      <c r="S1122">
        <v>0</v>
      </c>
      <c r="T1122">
        <v>0</v>
      </c>
      <c r="U1122">
        <v>0</v>
      </c>
      <c r="V1122">
        <v>0</v>
      </c>
      <c r="W1122">
        <v>0</v>
      </c>
      <c r="X1122">
        <v>0</v>
      </c>
      <c r="Y1122">
        <v>0</v>
      </c>
      <c r="AA1122" t="s">
        <v>800</v>
      </c>
      <c r="AB1122" t="s">
        <v>801</v>
      </c>
      <c r="AC1122" t="s">
        <v>802</v>
      </c>
      <c r="AD1122" t="s">
        <v>803</v>
      </c>
      <c r="AE1122" t="s">
        <v>804</v>
      </c>
      <c r="AF1122" t="s">
        <v>805</v>
      </c>
      <c r="AG1122" t="s">
        <v>806</v>
      </c>
      <c r="AH1122" t="s">
        <v>807</v>
      </c>
      <c r="AI1122" t="s">
        <v>813</v>
      </c>
      <c r="AJ1122" t="s">
        <v>808</v>
      </c>
      <c r="AK1122" t="s">
        <v>811</v>
      </c>
      <c r="AL1122" t="s">
        <v>809</v>
      </c>
      <c r="AM1122" t="s">
        <v>812</v>
      </c>
      <c r="AN1122" t="s">
        <v>810</v>
      </c>
      <c r="AO1122" t="s">
        <v>817</v>
      </c>
      <c r="AP1122" t="s">
        <v>818</v>
      </c>
      <c r="AQ1122" t="s">
        <v>819</v>
      </c>
      <c r="AR1122" t="s">
        <v>820</v>
      </c>
      <c r="AS1122" t="s">
        <v>821</v>
      </c>
    </row>
    <row r="1123" spans="1:45">
      <c r="A1123" s="8">
        <v>2022</v>
      </c>
      <c r="B1123" s="8">
        <v>328</v>
      </c>
      <c r="D1123" s="8" t="s">
        <v>60</v>
      </c>
      <c r="F1123" t="s">
        <v>61</v>
      </c>
      <c r="G1123" s="8" t="s">
        <v>26</v>
      </c>
      <c r="I1123" t="s">
        <v>22</v>
      </c>
      <c r="J1123" t="s">
        <v>24</v>
      </c>
      <c r="K1123" s="8" t="s">
        <v>25</v>
      </c>
      <c r="L1123" t="s">
        <v>26</v>
      </c>
      <c r="O1123">
        <v>1</v>
      </c>
      <c r="P1123">
        <v>0</v>
      </c>
      <c r="Q1123">
        <v>1</v>
      </c>
      <c r="R1123">
        <v>0</v>
      </c>
      <c r="S1123">
        <v>0</v>
      </c>
      <c r="T1123">
        <v>0</v>
      </c>
      <c r="U1123">
        <v>0</v>
      </c>
      <c r="V1123">
        <v>0</v>
      </c>
      <c r="W1123">
        <v>0</v>
      </c>
      <c r="X1123">
        <v>0</v>
      </c>
      <c r="Y1123">
        <v>0</v>
      </c>
      <c r="AA1123" t="s">
        <v>816</v>
      </c>
      <c r="AB1123" t="s">
        <v>815</v>
      </c>
    </row>
    <row r="1124" spans="1:45">
      <c r="A1124" s="8">
        <v>2022</v>
      </c>
      <c r="B1124" s="8">
        <v>329</v>
      </c>
      <c r="D1124" s="8" t="s">
        <v>60</v>
      </c>
      <c r="F1124" t="s">
        <v>61</v>
      </c>
      <c r="G1124" s="8" t="s">
        <v>37</v>
      </c>
      <c r="I1124" t="s">
        <v>60</v>
      </c>
      <c r="J1124" t="s">
        <v>61</v>
      </c>
      <c r="K1124" s="8" t="s">
        <v>41</v>
      </c>
      <c r="L1124" t="s">
        <v>37</v>
      </c>
      <c r="M1124" t="s">
        <v>26</v>
      </c>
      <c r="N1124" t="s">
        <v>35</v>
      </c>
      <c r="O1124">
        <v>1</v>
      </c>
      <c r="P1124">
        <v>0</v>
      </c>
      <c r="Q1124">
        <v>1</v>
      </c>
      <c r="R1124">
        <v>0</v>
      </c>
      <c r="S1124">
        <v>0</v>
      </c>
      <c r="T1124">
        <v>0</v>
      </c>
      <c r="U1124">
        <v>0</v>
      </c>
      <c r="V1124">
        <v>0</v>
      </c>
      <c r="W1124">
        <v>0</v>
      </c>
      <c r="X1124">
        <v>0</v>
      </c>
      <c r="Y1124">
        <v>0</v>
      </c>
      <c r="AA1124" t="s">
        <v>822</v>
      </c>
      <c r="AB1124" t="s">
        <v>823</v>
      </c>
      <c r="AC1124" t="s">
        <v>826</v>
      </c>
      <c r="AD1124" t="s">
        <v>827</v>
      </c>
      <c r="AE1124" t="s">
        <v>828</v>
      </c>
      <c r="AF1124" t="s">
        <v>829</v>
      </c>
    </row>
    <row r="1125" spans="1:45">
      <c r="A1125" s="8">
        <v>2022</v>
      </c>
      <c r="B1125" s="8">
        <v>329</v>
      </c>
      <c r="D1125" s="8" t="s">
        <v>60</v>
      </c>
      <c r="F1125" t="s">
        <v>61</v>
      </c>
      <c r="G1125" s="8" t="s">
        <v>35</v>
      </c>
      <c r="I1125" t="s">
        <v>60</v>
      </c>
      <c r="J1125" t="s">
        <v>61</v>
      </c>
      <c r="K1125" s="8" t="s">
        <v>41</v>
      </c>
      <c r="L1125" t="s">
        <v>37</v>
      </c>
      <c r="M1125" t="s">
        <v>26</v>
      </c>
      <c r="N1125" t="s">
        <v>35</v>
      </c>
      <c r="O1125">
        <v>1</v>
      </c>
      <c r="P1125">
        <v>0</v>
      </c>
      <c r="Q1125">
        <v>1</v>
      </c>
      <c r="R1125">
        <v>0</v>
      </c>
      <c r="S1125">
        <v>0</v>
      </c>
      <c r="T1125">
        <v>0</v>
      </c>
      <c r="U1125">
        <v>0</v>
      </c>
      <c r="V1125">
        <v>0</v>
      </c>
      <c r="W1125">
        <v>0</v>
      </c>
      <c r="X1125">
        <v>0</v>
      </c>
      <c r="Y1125">
        <v>0</v>
      </c>
      <c r="AA1125" t="s">
        <v>822</v>
      </c>
      <c r="AB1125" t="s">
        <v>823</v>
      </c>
      <c r="AC1125" t="s">
        <v>826</v>
      </c>
      <c r="AD1125" t="s">
        <v>827</v>
      </c>
      <c r="AE1125" t="s">
        <v>828</v>
      </c>
      <c r="AF1125" t="s">
        <v>829</v>
      </c>
    </row>
    <row r="1126" spans="1:45">
      <c r="A1126" s="8">
        <v>2022</v>
      </c>
      <c r="B1126" s="8">
        <v>329</v>
      </c>
      <c r="D1126" s="8" t="s">
        <v>60</v>
      </c>
      <c r="F1126" t="s">
        <v>61</v>
      </c>
      <c r="G1126" s="8" t="s">
        <v>26</v>
      </c>
      <c r="I1126" t="s">
        <v>60</v>
      </c>
      <c r="J1126" t="s">
        <v>61</v>
      </c>
      <c r="K1126" s="8" t="s">
        <v>41</v>
      </c>
      <c r="L1126" t="s">
        <v>37</v>
      </c>
      <c r="M1126" t="s">
        <v>26</v>
      </c>
      <c r="N1126" t="s">
        <v>35</v>
      </c>
      <c r="O1126">
        <v>1</v>
      </c>
      <c r="P1126">
        <v>0</v>
      </c>
      <c r="Q1126">
        <v>1</v>
      </c>
      <c r="R1126">
        <v>0</v>
      </c>
      <c r="S1126">
        <v>0</v>
      </c>
      <c r="T1126">
        <v>0</v>
      </c>
      <c r="U1126">
        <v>0</v>
      </c>
      <c r="V1126">
        <v>0</v>
      </c>
      <c r="W1126">
        <v>0</v>
      </c>
      <c r="X1126">
        <v>0</v>
      </c>
      <c r="Y1126">
        <v>0</v>
      </c>
      <c r="AA1126" t="s">
        <v>822</v>
      </c>
      <c r="AB1126" t="s">
        <v>823</v>
      </c>
      <c r="AC1126" t="s">
        <v>826</v>
      </c>
      <c r="AD1126" t="s">
        <v>827</v>
      </c>
      <c r="AE1126" t="s">
        <v>828</v>
      </c>
      <c r="AF1126" t="s">
        <v>829</v>
      </c>
    </row>
    <row r="1127" spans="1:45">
      <c r="A1127" s="8">
        <v>2022</v>
      </c>
      <c r="B1127" s="8">
        <v>329</v>
      </c>
      <c r="D1127" s="8" t="s">
        <v>60</v>
      </c>
      <c r="F1127" t="s">
        <v>61</v>
      </c>
      <c r="G1127" s="8" t="s">
        <v>222</v>
      </c>
      <c r="H1127" t="s">
        <v>227</v>
      </c>
      <c r="I1127" t="s">
        <v>60</v>
      </c>
      <c r="J1127" t="s">
        <v>61</v>
      </c>
      <c r="K1127" s="8" t="s">
        <v>41</v>
      </c>
      <c r="L1127" t="s">
        <v>37</v>
      </c>
      <c r="M1127" t="s">
        <v>26</v>
      </c>
      <c r="N1127" t="s">
        <v>35</v>
      </c>
      <c r="O1127">
        <v>0</v>
      </c>
      <c r="P1127">
        <v>0</v>
      </c>
      <c r="Q1127">
        <v>0</v>
      </c>
      <c r="R1127">
        <v>0</v>
      </c>
      <c r="S1127">
        <v>0</v>
      </c>
      <c r="T1127">
        <v>0</v>
      </c>
      <c r="U1127">
        <v>0</v>
      </c>
      <c r="V1127">
        <v>1</v>
      </c>
      <c r="W1127">
        <v>0</v>
      </c>
      <c r="X1127">
        <v>0</v>
      </c>
      <c r="Y1127">
        <v>0</v>
      </c>
      <c r="AA1127" t="s">
        <v>824</v>
      </c>
      <c r="AB1127" t="s">
        <v>825</v>
      </c>
    </row>
    <row r="1128" spans="1:45">
      <c r="A1128" s="8">
        <v>2022</v>
      </c>
      <c r="B1128" s="8">
        <v>329</v>
      </c>
      <c r="D1128" s="8" t="s">
        <v>60</v>
      </c>
      <c r="F1128" t="s">
        <v>61</v>
      </c>
      <c r="G1128" s="8" t="s">
        <v>223</v>
      </c>
      <c r="H1128" t="s">
        <v>228</v>
      </c>
      <c r="I1128" t="s">
        <v>60</v>
      </c>
      <c r="J1128" t="s">
        <v>61</v>
      </c>
      <c r="K1128" s="8" t="s">
        <v>41</v>
      </c>
      <c r="L1128" t="s">
        <v>37</v>
      </c>
      <c r="M1128" t="s">
        <v>26</v>
      </c>
      <c r="N1128" t="s">
        <v>35</v>
      </c>
      <c r="O1128">
        <v>0</v>
      </c>
      <c r="P1128">
        <v>0</v>
      </c>
      <c r="Q1128">
        <v>0</v>
      </c>
      <c r="R1128">
        <v>0</v>
      </c>
      <c r="S1128">
        <v>0</v>
      </c>
      <c r="T1128">
        <v>0</v>
      </c>
      <c r="U1128">
        <v>0</v>
      </c>
      <c r="V1128">
        <v>1</v>
      </c>
      <c r="W1128">
        <v>0</v>
      </c>
      <c r="X1128">
        <v>0</v>
      </c>
      <c r="Y1128">
        <v>0</v>
      </c>
      <c r="AA1128" t="s">
        <v>824</v>
      </c>
      <c r="AB1128" t="s">
        <v>825</v>
      </c>
    </row>
    <row r="1129" spans="1:45">
      <c r="A1129" s="8">
        <v>2022</v>
      </c>
      <c r="B1129" s="8">
        <v>329</v>
      </c>
      <c r="D1129" s="8" t="s">
        <v>60</v>
      </c>
      <c r="F1129" t="s">
        <v>61</v>
      </c>
      <c r="G1129" s="8" t="s">
        <v>203</v>
      </c>
      <c r="H1129" t="s">
        <v>206</v>
      </c>
      <c r="I1129" t="s">
        <v>60</v>
      </c>
      <c r="J1129" t="s">
        <v>61</v>
      </c>
      <c r="K1129" s="8" t="s">
        <v>41</v>
      </c>
      <c r="L1129" t="s">
        <v>37</v>
      </c>
      <c r="M1129" t="s">
        <v>26</v>
      </c>
      <c r="N1129" t="s">
        <v>35</v>
      </c>
      <c r="O1129">
        <v>0</v>
      </c>
      <c r="P1129">
        <v>0</v>
      </c>
      <c r="Q1129">
        <v>0</v>
      </c>
      <c r="R1129">
        <v>0</v>
      </c>
      <c r="S1129">
        <v>0</v>
      </c>
      <c r="T1129">
        <v>0</v>
      </c>
      <c r="U1129">
        <v>0</v>
      </c>
      <c r="V1129">
        <v>1</v>
      </c>
      <c r="W1129">
        <v>0</v>
      </c>
      <c r="X1129">
        <v>0</v>
      </c>
      <c r="Y1129">
        <v>0</v>
      </c>
      <c r="AA1129" t="s">
        <v>824</v>
      </c>
      <c r="AB1129" t="s">
        <v>825</v>
      </c>
    </row>
    <row r="1130" spans="1:45">
      <c r="A1130" s="8">
        <v>2022</v>
      </c>
      <c r="B1130" s="8">
        <v>329</v>
      </c>
      <c r="D1130" s="8" t="s">
        <v>60</v>
      </c>
      <c r="F1130" t="s">
        <v>61</v>
      </c>
      <c r="G1130" s="8" t="s">
        <v>202</v>
      </c>
      <c r="H1130" t="s">
        <v>205</v>
      </c>
      <c r="I1130" t="s">
        <v>60</v>
      </c>
      <c r="J1130" t="s">
        <v>61</v>
      </c>
      <c r="K1130" s="8" t="s">
        <v>41</v>
      </c>
      <c r="L1130" t="s">
        <v>37</v>
      </c>
      <c r="M1130" t="s">
        <v>26</v>
      </c>
      <c r="N1130" t="s">
        <v>35</v>
      </c>
      <c r="O1130">
        <v>0</v>
      </c>
      <c r="P1130">
        <v>0</v>
      </c>
      <c r="Q1130">
        <v>0</v>
      </c>
      <c r="R1130">
        <v>0</v>
      </c>
      <c r="S1130">
        <v>0</v>
      </c>
      <c r="T1130">
        <v>0</v>
      </c>
      <c r="U1130">
        <v>0</v>
      </c>
      <c r="V1130">
        <v>1</v>
      </c>
      <c r="W1130">
        <v>0</v>
      </c>
      <c r="X1130">
        <v>0</v>
      </c>
      <c r="Y1130">
        <v>0</v>
      </c>
      <c r="AA1130" t="s">
        <v>824</v>
      </c>
      <c r="AB1130" t="s">
        <v>825</v>
      </c>
    </row>
    <row r="1131" spans="1:45">
      <c r="A1131" s="8">
        <v>2022</v>
      </c>
      <c r="B1131" s="8">
        <v>329</v>
      </c>
      <c r="D1131" s="8" t="s">
        <v>60</v>
      </c>
      <c r="F1131" t="s">
        <v>61</v>
      </c>
      <c r="G1131" s="8" t="s">
        <v>193</v>
      </c>
      <c r="H1131" t="s">
        <v>185</v>
      </c>
      <c r="I1131" t="s">
        <v>60</v>
      </c>
      <c r="J1131" t="s">
        <v>61</v>
      </c>
      <c r="K1131" s="8" t="s">
        <v>41</v>
      </c>
      <c r="L1131" t="s">
        <v>37</v>
      </c>
      <c r="M1131" t="s">
        <v>26</v>
      </c>
      <c r="N1131" t="s">
        <v>35</v>
      </c>
      <c r="O1131">
        <v>0</v>
      </c>
      <c r="P1131">
        <v>0</v>
      </c>
      <c r="Q1131">
        <v>0</v>
      </c>
      <c r="R1131">
        <v>0</v>
      </c>
      <c r="S1131">
        <v>0</v>
      </c>
      <c r="T1131">
        <v>0</v>
      </c>
      <c r="U1131">
        <v>0</v>
      </c>
      <c r="V1131">
        <v>1</v>
      </c>
      <c r="W1131">
        <v>0</v>
      </c>
      <c r="X1131">
        <v>0</v>
      </c>
      <c r="Y1131">
        <v>0</v>
      </c>
      <c r="AA1131" t="s">
        <v>824</v>
      </c>
      <c r="AB1131" t="s">
        <v>825</v>
      </c>
    </row>
    <row r="1132" spans="1:45">
      <c r="A1132" s="8">
        <v>2022</v>
      </c>
      <c r="B1132" s="8">
        <v>329</v>
      </c>
      <c r="D1132" s="8" t="s">
        <v>60</v>
      </c>
      <c r="F1132" t="s">
        <v>61</v>
      </c>
      <c r="G1132" s="8" t="s">
        <v>161</v>
      </c>
      <c r="I1132" t="s">
        <v>60</v>
      </c>
      <c r="J1132" t="s">
        <v>61</v>
      </c>
      <c r="K1132" s="8" t="s">
        <v>41</v>
      </c>
      <c r="L1132" t="s">
        <v>37</v>
      </c>
      <c r="M1132" t="s">
        <v>26</v>
      </c>
      <c r="N1132" t="s">
        <v>35</v>
      </c>
      <c r="O1132">
        <v>0</v>
      </c>
      <c r="P1132">
        <v>0</v>
      </c>
      <c r="Q1132">
        <v>0</v>
      </c>
      <c r="R1132">
        <v>0</v>
      </c>
      <c r="S1132">
        <v>0</v>
      </c>
      <c r="T1132">
        <v>0</v>
      </c>
      <c r="U1132">
        <v>0</v>
      </c>
      <c r="V1132">
        <v>1</v>
      </c>
      <c r="W1132">
        <v>0</v>
      </c>
      <c r="X1132">
        <v>0</v>
      </c>
      <c r="Y1132">
        <v>0</v>
      </c>
      <c r="AA1132" t="s">
        <v>824</v>
      </c>
      <c r="AB1132" t="s">
        <v>825</v>
      </c>
    </row>
    <row r="1133" spans="1:45">
      <c r="A1133" s="8">
        <v>2022</v>
      </c>
      <c r="B1133" s="8">
        <v>330</v>
      </c>
      <c r="D1133" s="8" t="s">
        <v>60</v>
      </c>
      <c r="F1133" t="s">
        <v>61</v>
      </c>
      <c r="G1133" s="8" t="s">
        <v>37</v>
      </c>
      <c r="I1133" t="s">
        <v>60</v>
      </c>
      <c r="J1133" t="s">
        <v>61</v>
      </c>
      <c r="K1133" s="8" t="s">
        <v>41</v>
      </c>
      <c r="L1133" t="s">
        <v>223</v>
      </c>
      <c r="O1133">
        <v>1</v>
      </c>
      <c r="P1133">
        <v>0</v>
      </c>
      <c r="Q1133">
        <v>0</v>
      </c>
      <c r="R1133">
        <v>1</v>
      </c>
      <c r="S1133">
        <v>0</v>
      </c>
      <c r="T1133">
        <v>1</v>
      </c>
      <c r="U1133">
        <v>0</v>
      </c>
      <c r="V1133">
        <v>1</v>
      </c>
      <c r="W1133">
        <v>0</v>
      </c>
      <c r="X1133">
        <v>0</v>
      </c>
      <c r="Y1133">
        <v>0</v>
      </c>
      <c r="AA1133" t="s">
        <v>830</v>
      </c>
      <c r="AB1133" t="s">
        <v>831</v>
      </c>
      <c r="AC1133" t="s">
        <v>832</v>
      </c>
    </row>
    <row r="1134" spans="1:45">
      <c r="A1134" s="8">
        <v>2022</v>
      </c>
      <c r="B1134" s="8">
        <v>330</v>
      </c>
      <c r="D1134" s="8" t="s">
        <v>60</v>
      </c>
      <c r="F1134" t="s">
        <v>61</v>
      </c>
      <c r="G1134" s="8" t="s">
        <v>223</v>
      </c>
      <c r="H1134" t="s">
        <v>228</v>
      </c>
      <c r="I1134" t="s">
        <v>60</v>
      </c>
      <c r="J1134" t="s">
        <v>61</v>
      </c>
      <c r="K1134" s="8" t="s">
        <v>41</v>
      </c>
      <c r="L1134" t="s">
        <v>223</v>
      </c>
      <c r="O1134">
        <v>1</v>
      </c>
      <c r="P1134">
        <v>0</v>
      </c>
      <c r="Q1134">
        <v>0</v>
      </c>
      <c r="R1134">
        <v>1</v>
      </c>
      <c r="S1134">
        <v>0</v>
      </c>
      <c r="T1134">
        <v>1</v>
      </c>
      <c r="U1134">
        <v>0</v>
      </c>
      <c r="V1134">
        <v>1</v>
      </c>
      <c r="W1134">
        <v>0</v>
      </c>
      <c r="X1134">
        <v>0</v>
      </c>
      <c r="Y1134">
        <v>0</v>
      </c>
      <c r="AA1134" t="s">
        <v>830</v>
      </c>
      <c r="AB1134" t="s">
        <v>831</v>
      </c>
      <c r="AC1134" t="s">
        <v>832</v>
      </c>
    </row>
    <row r="1135" spans="1:45">
      <c r="A1135" s="8">
        <v>2022</v>
      </c>
      <c r="B1135" s="8">
        <v>331</v>
      </c>
      <c r="D1135" s="8" t="s">
        <v>60</v>
      </c>
      <c r="F1135" t="s">
        <v>61</v>
      </c>
      <c r="G1135" s="8" t="s">
        <v>37</v>
      </c>
      <c r="I1135" t="s">
        <v>60</v>
      </c>
      <c r="J1135" t="s">
        <v>61</v>
      </c>
      <c r="K1135" s="8" t="s">
        <v>41</v>
      </c>
      <c r="L1135" t="s">
        <v>37</v>
      </c>
      <c r="M1135" t="s">
        <v>26</v>
      </c>
      <c r="N1135" t="s">
        <v>35</v>
      </c>
      <c r="O1135">
        <v>1</v>
      </c>
      <c r="P1135">
        <v>0</v>
      </c>
      <c r="Q1135">
        <v>1</v>
      </c>
      <c r="R1135">
        <v>0</v>
      </c>
      <c r="S1135">
        <v>0</v>
      </c>
      <c r="T1135">
        <v>0</v>
      </c>
      <c r="U1135">
        <v>0</v>
      </c>
      <c r="V1135">
        <v>0</v>
      </c>
      <c r="W1135">
        <v>0</v>
      </c>
      <c r="X1135">
        <v>0</v>
      </c>
      <c r="Y1135">
        <v>0</v>
      </c>
      <c r="AA1135" t="s">
        <v>841</v>
      </c>
      <c r="AB1135" t="s">
        <v>842</v>
      </c>
      <c r="AC1135" t="s">
        <v>843</v>
      </c>
      <c r="AD1135" t="s">
        <v>844</v>
      </c>
    </row>
    <row r="1136" spans="1:45">
      <c r="A1136" s="8">
        <v>2022</v>
      </c>
      <c r="B1136" s="8">
        <v>331</v>
      </c>
      <c r="D1136" s="8" t="s">
        <v>60</v>
      </c>
      <c r="F1136" t="s">
        <v>61</v>
      </c>
      <c r="G1136" s="8" t="s">
        <v>26</v>
      </c>
      <c r="I1136" t="s">
        <v>60</v>
      </c>
      <c r="J1136" t="s">
        <v>61</v>
      </c>
      <c r="K1136" s="8" t="s">
        <v>41</v>
      </c>
      <c r="L1136" t="s">
        <v>37</v>
      </c>
      <c r="M1136" t="s">
        <v>26</v>
      </c>
      <c r="N1136" t="s">
        <v>35</v>
      </c>
      <c r="O1136">
        <v>1</v>
      </c>
      <c r="P1136">
        <v>0</v>
      </c>
      <c r="Q1136">
        <v>1</v>
      </c>
      <c r="R1136">
        <v>0</v>
      </c>
      <c r="S1136">
        <v>0</v>
      </c>
      <c r="T1136">
        <v>0</v>
      </c>
      <c r="U1136">
        <v>0</v>
      </c>
      <c r="V1136">
        <v>0</v>
      </c>
      <c r="W1136">
        <v>0</v>
      </c>
      <c r="X1136">
        <v>0</v>
      </c>
      <c r="Y1136">
        <v>0</v>
      </c>
      <c r="AA1136" t="s">
        <v>841</v>
      </c>
      <c r="AB1136" t="s">
        <v>842</v>
      </c>
      <c r="AC1136" t="s">
        <v>843</v>
      </c>
      <c r="AD1136" t="s">
        <v>844</v>
      </c>
      <c r="AF1136" t="s">
        <v>845</v>
      </c>
    </row>
    <row r="1137" spans="1:40">
      <c r="A1137" s="8">
        <v>2022</v>
      </c>
      <c r="B1137" s="8">
        <v>331</v>
      </c>
      <c r="D1137" s="8" t="s">
        <v>60</v>
      </c>
      <c r="F1137" t="s">
        <v>61</v>
      </c>
      <c r="G1137" s="8" t="s">
        <v>35</v>
      </c>
      <c r="I1137" t="s">
        <v>60</v>
      </c>
      <c r="J1137" t="s">
        <v>61</v>
      </c>
      <c r="K1137" s="8" t="s">
        <v>41</v>
      </c>
      <c r="L1137" t="s">
        <v>37</v>
      </c>
      <c r="M1137" t="s">
        <v>26</v>
      </c>
      <c r="N1137" t="s">
        <v>35</v>
      </c>
      <c r="O1137">
        <v>1</v>
      </c>
      <c r="P1137">
        <v>0</v>
      </c>
      <c r="Q1137">
        <v>1</v>
      </c>
      <c r="R1137">
        <v>0</v>
      </c>
      <c r="S1137">
        <v>0</v>
      </c>
      <c r="T1137">
        <v>0</v>
      </c>
      <c r="U1137">
        <v>0</v>
      </c>
      <c r="V1137">
        <v>0</v>
      </c>
      <c r="W1137">
        <v>0</v>
      </c>
      <c r="X1137">
        <v>0</v>
      </c>
      <c r="Y1137">
        <v>0</v>
      </c>
      <c r="AA1137" t="s">
        <v>841</v>
      </c>
      <c r="AB1137" t="s">
        <v>842</v>
      </c>
      <c r="AC1137" t="s">
        <v>843</v>
      </c>
      <c r="AD1137" t="s">
        <v>844</v>
      </c>
    </row>
    <row r="1138" spans="1:40">
      <c r="A1138" s="8">
        <v>2022</v>
      </c>
      <c r="B1138" s="8">
        <v>332</v>
      </c>
      <c r="D1138" s="8" t="s">
        <v>60</v>
      </c>
      <c r="F1138" t="s">
        <v>61</v>
      </c>
      <c r="G1138" s="8" t="s">
        <v>37</v>
      </c>
      <c r="I1138" t="s">
        <v>60</v>
      </c>
      <c r="J1138" t="s">
        <v>61</v>
      </c>
      <c r="K1138" s="8" t="s">
        <v>41</v>
      </c>
      <c r="L1138" t="s">
        <v>37</v>
      </c>
      <c r="O1138">
        <v>1</v>
      </c>
      <c r="P1138">
        <v>0</v>
      </c>
      <c r="Q1138">
        <v>1</v>
      </c>
      <c r="R1138">
        <v>0</v>
      </c>
      <c r="S1138">
        <v>0</v>
      </c>
      <c r="T1138">
        <v>0</v>
      </c>
      <c r="U1138">
        <v>0</v>
      </c>
      <c r="V1138">
        <v>0</v>
      </c>
      <c r="W1138">
        <v>0</v>
      </c>
      <c r="X1138">
        <v>0</v>
      </c>
      <c r="Y1138">
        <v>0</v>
      </c>
      <c r="AA1138" t="s">
        <v>847</v>
      </c>
      <c r="AB1138" t="s">
        <v>848</v>
      </c>
    </row>
    <row r="1139" spans="1:40">
      <c r="A1139" s="8">
        <v>2022</v>
      </c>
      <c r="B1139" s="8">
        <v>332</v>
      </c>
      <c r="D1139" s="8" t="s">
        <v>60</v>
      </c>
      <c r="F1139" t="s">
        <v>61</v>
      </c>
      <c r="G1139" s="8" t="s">
        <v>846</v>
      </c>
      <c r="I1139" t="s">
        <v>60</v>
      </c>
      <c r="J1139" t="s">
        <v>61</v>
      </c>
      <c r="K1139" s="8" t="s">
        <v>41</v>
      </c>
      <c r="L1139" t="s">
        <v>37</v>
      </c>
      <c r="O1139">
        <v>1</v>
      </c>
      <c r="P1139">
        <v>0</v>
      </c>
      <c r="Q1139">
        <v>1</v>
      </c>
      <c r="R1139">
        <v>0</v>
      </c>
      <c r="S1139">
        <v>0</v>
      </c>
      <c r="T1139">
        <v>0</v>
      </c>
      <c r="U1139">
        <v>0</v>
      </c>
      <c r="V1139">
        <v>0</v>
      </c>
      <c r="W1139">
        <v>0</v>
      </c>
      <c r="X1139">
        <v>0</v>
      </c>
      <c r="Y1139">
        <v>0</v>
      </c>
      <c r="AA1139" t="s">
        <v>847</v>
      </c>
      <c r="AB1139" t="s">
        <v>848</v>
      </c>
    </row>
    <row r="1140" spans="1:40">
      <c r="A1140" s="8">
        <v>2022</v>
      </c>
      <c r="B1140" s="8">
        <v>333</v>
      </c>
      <c r="D1140" s="8" t="s">
        <v>60</v>
      </c>
      <c r="F1140" t="s">
        <v>61</v>
      </c>
      <c r="G1140" s="8" t="s">
        <v>37</v>
      </c>
      <c r="I1140" t="s">
        <v>60</v>
      </c>
      <c r="J1140" t="s">
        <v>61</v>
      </c>
      <c r="K1140" s="8" t="s">
        <v>41</v>
      </c>
      <c r="L1140" t="s">
        <v>37</v>
      </c>
      <c r="M1140" t="s">
        <v>26</v>
      </c>
      <c r="N1140" t="s">
        <v>35</v>
      </c>
      <c r="O1140">
        <v>1</v>
      </c>
      <c r="P1140">
        <v>1</v>
      </c>
      <c r="Q1140">
        <v>1</v>
      </c>
      <c r="R1140">
        <v>1</v>
      </c>
      <c r="S1140">
        <v>0</v>
      </c>
      <c r="T1140">
        <v>0</v>
      </c>
      <c r="U1140">
        <v>1</v>
      </c>
      <c r="V1140">
        <v>0</v>
      </c>
      <c r="W1140">
        <v>1</v>
      </c>
      <c r="X1140">
        <v>1</v>
      </c>
      <c r="Y1140">
        <v>0</v>
      </c>
      <c r="Z1140" t="s">
        <v>854</v>
      </c>
      <c r="AA1140" t="s">
        <v>855</v>
      </c>
      <c r="AB1140" t="s">
        <v>856</v>
      </c>
      <c r="AC1140" t="s">
        <v>850</v>
      </c>
      <c r="AD1140" t="s">
        <v>851</v>
      </c>
      <c r="AE1140" t="s">
        <v>857</v>
      </c>
      <c r="AF1140" t="s">
        <v>858</v>
      </c>
      <c r="AG1140" t="s">
        <v>859</v>
      </c>
      <c r="AH1140" t="s">
        <v>860</v>
      </c>
      <c r="AI1140" t="s">
        <v>861</v>
      </c>
      <c r="AJ1140" t="s">
        <v>862</v>
      </c>
      <c r="AK1140" t="s">
        <v>863</v>
      </c>
      <c r="AL1140" t="s">
        <v>864</v>
      </c>
      <c r="AM1140" t="s">
        <v>865</v>
      </c>
      <c r="AN1140" t="s">
        <v>866</v>
      </c>
    </row>
    <row r="1141" spans="1:40">
      <c r="A1141" s="8">
        <v>2022</v>
      </c>
      <c r="B1141" s="8">
        <v>333</v>
      </c>
      <c r="D1141" s="8" t="s">
        <v>60</v>
      </c>
      <c r="F1141" t="s">
        <v>61</v>
      </c>
      <c r="G1141" s="8" t="s">
        <v>35</v>
      </c>
      <c r="I1141" t="s">
        <v>60</v>
      </c>
      <c r="J1141" t="s">
        <v>61</v>
      </c>
      <c r="K1141" s="8" t="s">
        <v>41</v>
      </c>
      <c r="L1141" t="s">
        <v>37</v>
      </c>
      <c r="M1141" t="s">
        <v>26</v>
      </c>
      <c r="N1141" t="s">
        <v>35</v>
      </c>
      <c r="O1141">
        <v>1</v>
      </c>
      <c r="P1141">
        <v>1</v>
      </c>
      <c r="Q1141">
        <v>1</v>
      </c>
      <c r="R1141">
        <v>1</v>
      </c>
      <c r="S1141">
        <v>0</v>
      </c>
      <c r="T1141">
        <v>0</v>
      </c>
      <c r="U1141">
        <v>1</v>
      </c>
      <c r="V1141">
        <v>0</v>
      </c>
      <c r="W1141">
        <v>1</v>
      </c>
      <c r="X1141">
        <v>1</v>
      </c>
      <c r="Y1141">
        <v>0</v>
      </c>
      <c r="Z1141" t="s">
        <v>854</v>
      </c>
      <c r="AA1141" t="s">
        <v>850</v>
      </c>
      <c r="AB1141" t="s">
        <v>851</v>
      </c>
      <c r="AC1141" t="s">
        <v>857</v>
      </c>
      <c r="AD1141" t="s">
        <v>858</v>
      </c>
      <c r="AE1141" t="s">
        <v>859</v>
      </c>
      <c r="AF1141" t="s">
        <v>860</v>
      </c>
      <c r="AG1141" t="s">
        <v>861</v>
      </c>
      <c r="AH1141" t="s">
        <v>862</v>
      </c>
    </row>
    <row r="1142" spans="1:40">
      <c r="A1142" s="8">
        <v>2022</v>
      </c>
      <c r="B1142" s="8">
        <v>333</v>
      </c>
      <c r="D1142" s="8" t="s">
        <v>60</v>
      </c>
      <c r="F1142" t="s">
        <v>61</v>
      </c>
      <c r="G1142" s="8" t="s">
        <v>26</v>
      </c>
      <c r="I1142" t="s">
        <v>60</v>
      </c>
      <c r="J1142" t="s">
        <v>61</v>
      </c>
      <c r="K1142" s="8" t="s">
        <v>41</v>
      </c>
      <c r="L1142" t="s">
        <v>37</v>
      </c>
      <c r="M1142" t="s">
        <v>26</v>
      </c>
      <c r="N1142" t="s">
        <v>35</v>
      </c>
      <c r="O1142">
        <v>1</v>
      </c>
      <c r="P1142">
        <v>1</v>
      </c>
      <c r="Q1142">
        <v>1</v>
      </c>
      <c r="R1142">
        <v>1</v>
      </c>
      <c r="S1142">
        <v>0</v>
      </c>
      <c r="T1142">
        <v>0</v>
      </c>
      <c r="U1142">
        <v>1</v>
      </c>
      <c r="V1142">
        <v>0</v>
      </c>
      <c r="W1142">
        <v>1</v>
      </c>
      <c r="X1142">
        <v>1</v>
      </c>
      <c r="Y1142">
        <v>0</v>
      </c>
      <c r="Z1142" t="s">
        <v>854</v>
      </c>
      <c r="AA1142" t="s">
        <v>850</v>
      </c>
      <c r="AB1142" t="s">
        <v>851</v>
      </c>
      <c r="AC1142" t="s">
        <v>857</v>
      </c>
      <c r="AD1142" t="s">
        <v>858</v>
      </c>
      <c r="AE1142" t="s">
        <v>859</v>
      </c>
      <c r="AF1142" t="s">
        <v>860</v>
      </c>
      <c r="AG1142" t="s">
        <v>861</v>
      </c>
      <c r="AH1142" t="s">
        <v>862</v>
      </c>
    </row>
    <row r="1143" spans="1:40">
      <c r="A1143" s="8">
        <v>2022</v>
      </c>
      <c r="B1143" s="8">
        <v>333</v>
      </c>
      <c r="D1143" s="8" t="s">
        <v>60</v>
      </c>
      <c r="F1143" t="s">
        <v>61</v>
      </c>
      <c r="G1143" s="8" t="s">
        <v>193</v>
      </c>
      <c r="H1143" t="s">
        <v>185</v>
      </c>
      <c r="K1143" s="8" t="s">
        <v>41</v>
      </c>
      <c r="L1143" t="s">
        <v>37</v>
      </c>
      <c r="M1143" t="s">
        <v>26</v>
      </c>
      <c r="N1143" t="s">
        <v>35</v>
      </c>
      <c r="O1143">
        <v>0</v>
      </c>
      <c r="P1143">
        <v>0</v>
      </c>
      <c r="Q1143">
        <v>0</v>
      </c>
      <c r="R1143">
        <v>0</v>
      </c>
      <c r="S1143">
        <v>0</v>
      </c>
      <c r="T1143">
        <v>0</v>
      </c>
      <c r="U1143">
        <v>0</v>
      </c>
      <c r="V1143">
        <v>1</v>
      </c>
      <c r="W1143">
        <v>1</v>
      </c>
      <c r="X1143">
        <v>1</v>
      </c>
      <c r="Y1143">
        <v>0</v>
      </c>
      <c r="Z1143" t="s">
        <v>854</v>
      </c>
      <c r="AA1143" t="s">
        <v>850</v>
      </c>
      <c r="AB1143" t="s">
        <v>851</v>
      </c>
      <c r="AC1143" t="s">
        <v>849</v>
      </c>
    </row>
    <row r="1144" spans="1:40">
      <c r="A1144" s="8">
        <v>2022</v>
      </c>
      <c r="B1144" s="8">
        <v>333</v>
      </c>
      <c r="D1144" s="8" t="s">
        <v>60</v>
      </c>
      <c r="F1144" t="s">
        <v>61</v>
      </c>
      <c r="G1144" s="8" t="s">
        <v>202</v>
      </c>
      <c r="H1144" t="s">
        <v>205</v>
      </c>
      <c r="K1144" s="8" t="s">
        <v>41</v>
      </c>
      <c r="L1144" t="s">
        <v>37</v>
      </c>
      <c r="M1144" t="s">
        <v>26</v>
      </c>
      <c r="N1144" t="s">
        <v>35</v>
      </c>
      <c r="O1144">
        <v>0</v>
      </c>
      <c r="P1144">
        <v>0</v>
      </c>
      <c r="Q1144">
        <v>0</v>
      </c>
      <c r="R1144">
        <v>0</v>
      </c>
      <c r="S1144">
        <v>0</v>
      </c>
      <c r="T1144">
        <v>0</v>
      </c>
      <c r="U1144">
        <v>0</v>
      </c>
      <c r="V1144">
        <v>1</v>
      </c>
      <c r="W1144">
        <v>1</v>
      </c>
      <c r="X1144">
        <v>1</v>
      </c>
      <c r="Y1144">
        <v>0</v>
      </c>
      <c r="Z1144" t="s">
        <v>854</v>
      </c>
      <c r="AA1144" t="s">
        <v>850</v>
      </c>
      <c r="AB1144" t="s">
        <v>851</v>
      </c>
      <c r="AC1144" t="s">
        <v>849</v>
      </c>
    </row>
    <row r="1145" spans="1:40">
      <c r="A1145" s="8">
        <v>2022</v>
      </c>
      <c r="B1145" s="8">
        <v>333</v>
      </c>
      <c r="D1145" s="8" t="s">
        <v>60</v>
      </c>
      <c r="F1145" t="s">
        <v>61</v>
      </c>
      <c r="G1145" s="8" t="s">
        <v>615</v>
      </c>
      <c r="H1145" t="s">
        <v>620</v>
      </c>
      <c r="K1145" s="8" t="s">
        <v>41</v>
      </c>
      <c r="L1145" t="s">
        <v>37</v>
      </c>
      <c r="M1145" t="s">
        <v>26</v>
      </c>
      <c r="N1145" t="s">
        <v>35</v>
      </c>
      <c r="O1145">
        <v>0</v>
      </c>
      <c r="P1145">
        <v>0</v>
      </c>
      <c r="Q1145">
        <v>0</v>
      </c>
      <c r="R1145">
        <v>0</v>
      </c>
      <c r="S1145">
        <v>0</v>
      </c>
      <c r="T1145">
        <v>0</v>
      </c>
      <c r="U1145">
        <v>0</v>
      </c>
      <c r="V1145">
        <v>1</v>
      </c>
      <c r="W1145">
        <v>1</v>
      </c>
      <c r="X1145">
        <v>1</v>
      </c>
      <c r="Y1145">
        <v>0</v>
      </c>
      <c r="Z1145" t="s">
        <v>854</v>
      </c>
      <c r="AA1145" t="s">
        <v>850</v>
      </c>
      <c r="AB1145" t="s">
        <v>851</v>
      </c>
      <c r="AC1145" t="s">
        <v>849</v>
      </c>
    </row>
    <row r="1146" spans="1:40">
      <c r="A1146" s="8">
        <v>2022</v>
      </c>
      <c r="B1146" s="8">
        <v>333</v>
      </c>
      <c r="D1146" s="8" t="s">
        <v>60</v>
      </c>
      <c r="F1146" t="s">
        <v>61</v>
      </c>
      <c r="G1146" s="8" t="s">
        <v>155</v>
      </c>
      <c r="H1146" t="s">
        <v>188</v>
      </c>
      <c r="K1146" s="8" t="s">
        <v>41</v>
      </c>
      <c r="L1146" t="s">
        <v>37</v>
      </c>
      <c r="M1146" t="s">
        <v>26</v>
      </c>
      <c r="N1146" t="s">
        <v>35</v>
      </c>
      <c r="O1146">
        <v>0</v>
      </c>
      <c r="P1146">
        <v>0</v>
      </c>
      <c r="Q1146">
        <v>0</v>
      </c>
      <c r="R1146">
        <v>0</v>
      </c>
      <c r="S1146">
        <v>0</v>
      </c>
      <c r="T1146">
        <v>0</v>
      </c>
      <c r="U1146">
        <v>0</v>
      </c>
      <c r="V1146">
        <v>1</v>
      </c>
      <c r="W1146">
        <v>1</v>
      </c>
      <c r="X1146">
        <v>1</v>
      </c>
      <c r="Y1146">
        <v>0</v>
      </c>
      <c r="Z1146" t="s">
        <v>854</v>
      </c>
      <c r="AA1146" t="s">
        <v>850</v>
      </c>
      <c r="AB1146" t="s">
        <v>851</v>
      </c>
      <c r="AC1146" t="s">
        <v>849</v>
      </c>
    </row>
    <row r="1147" spans="1:40">
      <c r="A1147" s="8">
        <v>2022</v>
      </c>
      <c r="B1147" s="8">
        <v>333</v>
      </c>
      <c r="D1147" s="8" t="s">
        <v>60</v>
      </c>
      <c r="F1147" t="s">
        <v>61</v>
      </c>
      <c r="G1147" s="8" t="s">
        <v>203</v>
      </c>
      <c r="H1147" t="s">
        <v>206</v>
      </c>
      <c r="K1147" s="8" t="s">
        <v>41</v>
      </c>
      <c r="L1147" t="s">
        <v>37</v>
      </c>
      <c r="M1147" t="s">
        <v>26</v>
      </c>
      <c r="N1147" t="s">
        <v>35</v>
      </c>
      <c r="O1147">
        <v>0</v>
      </c>
      <c r="P1147">
        <v>0</v>
      </c>
      <c r="Q1147">
        <v>0</v>
      </c>
      <c r="R1147">
        <v>0</v>
      </c>
      <c r="S1147">
        <v>0</v>
      </c>
      <c r="T1147">
        <v>0</v>
      </c>
      <c r="U1147">
        <v>0</v>
      </c>
      <c r="V1147">
        <v>1</v>
      </c>
      <c r="W1147">
        <v>1</v>
      </c>
      <c r="X1147">
        <v>1</v>
      </c>
      <c r="Y1147">
        <v>0</v>
      </c>
      <c r="Z1147" t="s">
        <v>854</v>
      </c>
      <c r="AA1147" t="s">
        <v>850</v>
      </c>
      <c r="AB1147" t="s">
        <v>851</v>
      </c>
      <c r="AC1147" t="s">
        <v>849</v>
      </c>
    </row>
    <row r="1148" spans="1:40">
      <c r="A1148" s="8">
        <v>2022</v>
      </c>
      <c r="B1148" s="8">
        <v>333</v>
      </c>
      <c r="D1148" s="8" t="s">
        <v>60</v>
      </c>
      <c r="F1148" t="s">
        <v>61</v>
      </c>
      <c r="G1148" s="8" t="s">
        <v>1025</v>
      </c>
      <c r="H1148" t="s">
        <v>562</v>
      </c>
      <c r="K1148" s="8" t="s">
        <v>41</v>
      </c>
      <c r="L1148" t="s">
        <v>37</v>
      </c>
      <c r="M1148" t="s">
        <v>26</v>
      </c>
      <c r="N1148" t="s">
        <v>35</v>
      </c>
      <c r="O1148">
        <v>0</v>
      </c>
      <c r="P1148">
        <v>0</v>
      </c>
      <c r="Q1148">
        <v>0</v>
      </c>
      <c r="R1148">
        <v>0</v>
      </c>
      <c r="S1148">
        <v>0</v>
      </c>
      <c r="T1148">
        <v>0</v>
      </c>
      <c r="U1148">
        <v>0</v>
      </c>
      <c r="V1148">
        <v>1</v>
      </c>
      <c r="W1148">
        <v>1</v>
      </c>
      <c r="X1148">
        <v>1</v>
      </c>
      <c r="Y1148">
        <v>0</v>
      </c>
      <c r="Z1148" t="s">
        <v>854</v>
      </c>
      <c r="AA1148" t="s">
        <v>850</v>
      </c>
      <c r="AB1148" t="s">
        <v>853</v>
      </c>
    </row>
    <row r="1149" spans="1:40">
      <c r="A1149" s="8">
        <v>2022</v>
      </c>
      <c r="B1149" s="8">
        <v>334</v>
      </c>
      <c r="D1149" s="8" t="s">
        <v>18</v>
      </c>
      <c r="F1149" t="s">
        <v>19</v>
      </c>
      <c r="G1149" s="8" t="s">
        <v>37</v>
      </c>
      <c r="I1149" t="s">
        <v>18</v>
      </c>
      <c r="J1149" t="s">
        <v>19</v>
      </c>
      <c r="K1149" s="8" t="s">
        <v>41</v>
      </c>
      <c r="L1149" t="s">
        <v>37</v>
      </c>
      <c r="O1149">
        <v>0</v>
      </c>
      <c r="P1149">
        <v>0</v>
      </c>
      <c r="Q1149">
        <v>0</v>
      </c>
      <c r="R1149">
        <v>0</v>
      </c>
      <c r="S1149">
        <v>0</v>
      </c>
      <c r="T1149">
        <v>0</v>
      </c>
      <c r="U1149">
        <v>0</v>
      </c>
      <c r="V1149">
        <v>1</v>
      </c>
      <c r="W1149">
        <v>1</v>
      </c>
      <c r="X1149">
        <v>0</v>
      </c>
      <c r="Y1149">
        <v>0</v>
      </c>
      <c r="Z1149" t="s">
        <v>1077</v>
      </c>
      <c r="AA1149" t="s">
        <v>1078</v>
      </c>
      <c r="AB1149" t="s">
        <v>1079</v>
      </c>
      <c r="AC1149" t="s">
        <v>1080</v>
      </c>
      <c r="AE1149" t="s">
        <v>1083</v>
      </c>
      <c r="AF1149" s="21" t="s">
        <v>1084</v>
      </c>
    </row>
    <row r="1150" spans="1:40">
      <c r="A1150" s="8">
        <v>2022</v>
      </c>
      <c r="B1150" s="8">
        <v>334</v>
      </c>
      <c r="D1150" s="8" t="s">
        <v>18</v>
      </c>
      <c r="F1150" t="s">
        <v>19</v>
      </c>
      <c r="G1150" s="8" t="s">
        <v>37</v>
      </c>
      <c r="I1150" t="s">
        <v>18</v>
      </c>
      <c r="J1150" t="s">
        <v>19</v>
      </c>
      <c r="K1150" s="8" t="s">
        <v>41</v>
      </c>
      <c r="L1150" t="s">
        <v>37</v>
      </c>
      <c r="O1150">
        <v>1</v>
      </c>
      <c r="P1150">
        <v>0</v>
      </c>
      <c r="Q1150">
        <v>1</v>
      </c>
      <c r="R1150">
        <v>0</v>
      </c>
      <c r="S1150">
        <v>0</v>
      </c>
      <c r="T1150">
        <v>0</v>
      </c>
      <c r="U1150">
        <v>0</v>
      </c>
      <c r="V1150">
        <v>0</v>
      </c>
      <c r="W1150">
        <v>0</v>
      </c>
      <c r="X1150">
        <v>0</v>
      </c>
      <c r="Y1150">
        <v>0</v>
      </c>
      <c r="AA1150" t="s">
        <v>1087</v>
      </c>
      <c r="AB1150" t="s">
        <v>1088</v>
      </c>
      <c r="AF1150" s="21"/>
    </row>
    <row r="1151" spans="1:40">
      <c r="A1151" s="8">
        <v>2022</v>
      </c>
      <c r="B1151" s="8">
        <v>335</v>
      </c>
      <c r="D1151" s="8" t="s">
        <v>18</v>
      </c>
      <c r="F1151" t="s">
        <v>19</v>
      </c>
      <c r="G1151" s="8" t="s">
        <v>203</v>
      </c>
      <c r="H1151" t="s">
        <v>206</v>
      </c>
      <c r="K1151" s="8" t="s">
        <v>41</v>
      </c>
      <c r="L1151" t="s">
        <v>37</v>
      </c>
      <c r="O1151">
        <v>0</v>
      </c>
      <c r="P1151">
        <v>0</v>
      </c>
      <c r="Q1151">
        <v>0</v>
      </c>
      <c r="R1151">
        <v>0</v>
      </c>
      <c r="S1151">
        <v>0</v>
      </c>
      <c r="T1151">
        <v>0</v>
      </c>
      <c r="U1151">
        <v>0</v>
      </c>
      <c r="V1151">
        <v>1</v>
      </c>
      <c r="W1151">
        <v>0</v>
      </c>
      <c r="X1151">
        <v>0</v>
      </c>
      <c r="Y1151">
        <v>0</v>
      </c>
      <c r="AA1151" t="s">
        <v>1089</v>
      </c>
      <c r="AB1151" t="s">
        <v>1090</v>
      </c>
      <c r="AC1151" t="s">
        <v>1171</v>
      </c>
      <c r="AF1151" s="21"/>
    </row>
    <row r="1152" spans="1:40">
      <c r="A1152" s="8">
        <v>2022</v>
      </c>
      <c r="B1152" s="8">
        <v>335</v>
      </c>
      <c r="D1152" s="8" t="s">
        <v>18</v>
      </c>
      <c r="F1152" t="s">
        <v>19</v>
      </c>
      <c r="G1152" s="8" t="s">
        <v>223</v>
      </c>
      <c r="H1152" t="s">
        <v>228</v>
      </c>
      <c r="K1152" s="8" t="s">
        <v>41</v>
      </c>
      <c r="L1152" t="s">
        <v>37</v>
      </c>
      <c r="O1152">
        <v>0</v>
      </c>
      <c r="P1152">
        <v>0</v>
      </c>
      <c r="Q1152">
        <v>0</v>
      </c>
      <c r="R1152">
        <v>0</v>
      </c>
      <c r="S1152">
        <v>0</v>
      </c>
      <c r="T1152">
        <v>0</v>
      </c>
      <c r="U1152">
        <v>0</v>
      </c>
      <c r="V1152">
        <v>1</v>
      </c>
      <c r="W1152">
        <v>0</v>
      </c>
      <c r="X1152">
        <v>0</v>
      </c>
      <c r="Y1152">
        <v>0</v>
      </c>
      <c r="AA1152" t="s">
        <v>1089</v>
      </c>
      <c r="AB1152" t="s">
        <v>1090</v>
      </c>
      <c r="AC1152" t="s">
        <v>1171</v>
      </c>
      <c r="AF1152" s="21"/>
    </row>
    <row r="1153" spans="1:32">
      <c r="A1153" s="8">
        <v>2022</v>
      </c>
      <c r="B1153" s="8">
        <v>335</v>
      </c>
      <c r="D1153" s="8" t="s">
        <v>18</v>
      </c>
      <c r="F1153" t="s">
        <v>19</v>
      </c>
      <c r="G1153" s="8" t="s">
        <v>567</v>
      </c>
      <c r="H1153" t="s">
        <v>568</v>
      </c>
      <c r="K1153" s="8" t="s">
        <v>41</v>
      </c>
      <c r="L1153" t="s">
        <v>37</v>
      </c>
      <c r="O1153">
        <v>0</v>
      </c>
      <c r="P1153">
        <v>0</v>
      </c>
      <c r="Q1153">
        <v>0</v>
      </c>
      <c r="R1153">
        <v>0</v>
      </c>
      <c r="S1153">
        <v>0</v>
      </c>
      <c r="T1153">
        <v>0</v>
      </c>
      <c r="U1153">
        <v>0</v>
      </c>
      <c r="V1153">
        <v>1</v>
      </c>
      <c r="W1153">
        <v>0</v>
      </c>
      <c r="X1153">
        <v>0</v>
      </c>
      <c r="Y1153">
        <v>0</v>
      </c>
      <c r="AA1153" t="s">
        <v>1089</v>
      </c>
      <c r="AB1153" t="s">
        <v>1090</v>
      </c>
      <c r="AC1153" t="s">
        <v>1171</v>
      </c>
      <c r="AF1153" s="21"/>
    </row>
    <row r="1154" spans="1:32">
      <c r="A1154" s="8">
        <v>2022</v>
      </c>
      <c r="B1154" s="8">
        <v>335</v>
      </c>
      <c r="D1154" s="8" t="s">
        <v>18</v>
      </c>
      <c r="F1154" t="s">
        <v>19</v>
      </c>
      <c r="G1154" s="8" t="s">
        <v>377</v>
      </c>
      <c r="H1154" t="s">
        <v>378</v>
      </c>
      <c r="K1154" s="8" t="s">
        <v>41</v>
      </c>
      <c r="L1154" t="s">
        <v>37</v>
      </c>
      <c r="O1154">
        <v>0</v>
      </c>
      <c r="P1154">
        <v>0</v>
      </c>
      <c r="Q1154">
        <v>0</v>
      </c>
      <c r="R1154">
        <v>0</v>
      </c>
      <c r="S1154">
        <v>0</v>
      </c>
      <c r="T1154">
        <v>0</v>
      </c>
      <c r="U1154">
        <v>0</v>
      </c>
      <c r="V1154">
        <v>1</v>
      </c>
      <c r="W1154">
        <v>0</v>
      </c>
      <c r="X1154">
        <v>0</v>
      </c>
      <c r="Y1154">
        <v>0</v>
      </c>
      <c r="AA1154" t="s">
        <v>1089</v>
      </c>
      <c r="AB1154" t="s">
        <v>1090</v>
      </c>
      <c r="AC1154" t="s">
        <v>1171</v>
      </c>
      <c r="AF1154" s="21"/>
    </row>
    <row r="1155" spans="1:32">
      <c r="A1155" s="8">
        <v>2022</v>
      </c>
      <c r="B1155" s="8">
        <v>335</v>
      </c>
      <c r="D1155" s="8" t="s">
        <v>18</v>
      </c>
      <c r="F1155" t="s">
        <v>19</v>
      </c>
      <c r="G1155" s="8" t="s">
        <v>611</v>
      </c>
      <c r="H1155" t="s">
        <v>617</v>
      </c>
      <c r="K1155" s="8" t="s">
        <v>41</v>
      </c>
      <c r="L1155" t="s">
        <v>37</v>
      </c>
      <c r="O1155">
        <v>0</v>
      </c>
      <c r="P1155">
        <v>0</v>
      </c>
      <c r="Q1155">
        <v>0</v>
      </c>
      <c r="R1155">
        <v>0</v>
      </c>
      <c r="S1155">
        <v>0</v>
      </c>
      <c r="T1155">
        <v>0</v>
      </c>
      <c r="U1155">
        <v>0</v>
      </c>
      <c r="V1155">
        <v>1</v>
      </c>
      <c r="W1155">
        <v>0</v>
      </c>
      <c r="X1155">
        <v>0</v>
      </c>
      <c r="Y1155">
        <v>0</v>
      </c>
      <c r="AA1155" t="s">
        <v>1089</v>
      </c>
      <c r="AB1155" t="s">
        <v>1090</v>
      </c>
      <c r="AC1155" t="s">
        <v>1171</v>
      </c>
      <c r="AF1155" s="21"/>
    </row>
    <row r="1156" spans="1:32">
      <c r="A1156" s="8">
        <v>2022</v>
      </c>
      <c r="B1156" s="8">
        <v>335</v>
      </c>
      <c r="D1156" s="8" t="s">
        <v>18</v>
      </c>
      <c r="F1156" t="s">
        <v>19</v>
      </c>
      <c r="G1156" s="8" t="s">
        <v>37</v>
      </c>
      <c r="K1156" s="8" t="s">
        <v>41</v>
      </c>
      <c r="L1156" t="s">
        <v>37</v>
      </c>
      <c r="O1156">
        <v>0</v>
      </c>
      <c r="P1156">
        <v>0</v>
      </c>
      <c r="Q1156">
        <v>0</v>
      </c>
      <c r="R1156">
        <v>0</v>
      </c>
      <c r="S1156">
        <v>0</v>
      </c>
      <c r="T1156">
        <v>0</v>
      </c>
      <c r="U1156">
        <v>0</v>
      </c>
      <c r="V1156">
        <v>1</v>
      </c>
      <c r="W1156">
        <v>0</v>
      </c>
      <c r="X1156">
        <v>0</v>
      </c>
      <c r="Y1156">
        <v>0</v>
      </c>
      <c r="AA1156" t="s">
        <v>1089</v>
      </c>
      <c r="AB1156" t="s">
        <v>1090</v>
      </c>
      <c r="AC1156" t="s">
        <v>1091</v>
      </c>
      <c r="AF1156" s="21"/>
    </row>
    <row r="1157" spans="1:32">
      <c r="A1157" s="8">
        <v>2022</v>
      </c>
      <c r="B1157" s="8">
        <v>336</v>
      </c>
      <c r="D1157" s="8" t="s">
        <v>18</v>
      </c>
      <c r="F1157" t="s">
        <v>19</v>
      </c>
      <c r="G1157" s="8" t="s">
        <v>192</v>
      </c>
      <c r="H1157" t="s">
        <v>195</v>
      </c>
      <c r="I1157" t="s">
        <v>192</v>
      </c>
      <c r="J1157" t="s">
        <v>195</v>
      </c>
      <c r="K1157" s="8" t="s">
        <v>65</v>
      </c>
      <c r="L1157" t="s">
        <v>192</v>
      </c>
      <c r="O1157">
        <v>1</v>
      </c>
      <c r="P1157">
        <v>0</v>
      </c>
      <c r="Q1157">
        <v>1</v>
      </c>
      <c r="R1157">
        <v>0</v>
      </c>
      <c r="S1157">
        <v>0</v>
      </c>
      <c r="T1157">
        <v>0</v>
      </c>
      <c r="U1157">
        <v>0</v>
      </c>
      <c r="V1157">
        <v>0</v>
      </c>
      <c r="W1157">
        <v>0</v>
      </c>
      <c r="X1157">
        <v>0</v>
      </c>
      <c r="Y1157">
        <v>0</v>
      </c>
      <c r="AA1157" t="s">
        <v>1099</v>
      </c>
      <c r="AB1157" t="s">
        <v>1100</v>
      </c>
      <c r="AF1157" s="21"/>
    </row>
    <row r="1158" spans="1:32">
      <c r="A1158" s="8">
        <v>2022</v>
      </c>
      <c r="B1158" s="8">
        <v>337</v>
      </c>
      <c r="D1158" s="8" t="s">
        <v>18</v>
      </c>
      <c r="F1158" t="s">
        <v>19</v>
      </c>
      <c r="G1158" s="8" t="s">
        <v>37</v>
      </c>
      <c r="I1158" t="s">
        <v>18</v>
      </c>
      <c r="J1158" t="s">
        <v>19</v>
      </c>
      <c r="K1158" s="8" t="s">
        <v>41</v>
      </c>
      <c r="L1158" s="12" t="s">
        <v>37</v>
      </c>
      <c r="M1158" s="12" t="s">
        <v>26</v>
      </c>
      <c r="N1158" s="12" t="s">
        <v>35</v>
      </c>
      <c r="O1158">
        <v>1</v>
      </c>
      <c r="P1158">
        <v>0</v>
      </c>
      <c r="Q1158">
        <v>0</v>
      </c>
      <c r="R1158">
        <v>1</v>
      </c>
      <c r="S1158">
        <v>0</v>
      </c>
      <c r="T1158">
        <v>0</v>
      </c>
      <c r="U1158">
        <v>0</v>
      </c>
      <c r="V1158">
        <v>0</v>
      </c>
      <c r="W1158">
        <v>0</v>
      </c>
      <c r="X1158">
        <v>0</v>
      </c>
      <c r="Y1158">
        <v>0</v>
      </c>
      <c r="AA1158" t="s">
        <v>1101</v>
      </c>
      <c r="AB1158" t="s">
        <v>1102</v>
      </c>
      <c r="AF1158" s="21"/>
    </row>
    <row r="1159" spans="1:32">
      <c r="A1159" s="8">
        <v>2022</v>
      </c>
      <c r="B1159" s="8">
        <v>337</v>
      </c>
      <c r="D1159" s="8" t="s">
        <v>18</v>
      </c>
      <c r="F1159" t="s">
        <v>19</v>
      </c>
      <c r="G1159" s="8" t="s">
        <v>26</v>
      </c>
      <c r="I1159" t="s">
        <v>18</v>
      </c>
      <c r="J1159" t="s">
        <v>19</v>
      </c>
      <c r="K1159" s="8" t="s">
        <v>41</v>
      </c>
      <c r="L1159" s="12" t="s">
        <v>37</v>
      </c>
      <c r="M1159" s="12" t="s">
        <v>26</v>
      </c>
      <c r="N1159" s="12" t="s">
        <v>35</v>
      </c>
      <c r="O1159">
        <v>1</v>
      </c>
      <c r="P1159">
        <v>0</v>
      </c>
      <c r="Q1159">
        <v>0</v>
      </c>
      <c r="R1159">
        <v>1</v>
      </c>
      <c r="S1159">
        <v>0</v>
      </c>
      <c r="T1159">
        <v>0</v>
      </c>
      <c r="U1159">
        <v>0</v>
      </c>
      <c r="V1159">
        <v>0</v>
      </c>
      <c r="W1159">
        <v>0</v>
      </c>
      <c r="X1159">
        <v>0</v>
      </c>
      <c r="Y1159">
        <v>0</v>
      </c>
      <c r="AA1159" t="s">
        <v>1101</v>
      </c>
      <c r="AB1159" t="s">
        <v>1102</v>
      </c>
      <c r="AF1159" s="21"/>
    </row>
    <row r="1160" spans="1:32">
      <c r="A1160" s="8">
        <v>2022</v>
      </c>
      <c r="B1160" s="8">
        <v>337</v>
      </c>
      <c r="D1160" s="8" t="s">
        <v>18</v>
      </c>
      <c r="F1160" t="s">
        <v>19</v>
      </c>
      <c r="G1160" s="8" t="s">
        <v>1131</v>
      </c>
      <c r="I1160" t="s">
        <v>18</v>
      </c>
      <c r="J1160" t="s">
        <v>19</v>
      </c>
      <c r="K1160" s="8" t="s">
        <v>41</v>
      </c>
      <c r="L1160" s="12" t="s">
        <v>37</v>
      </c>
      <c r="M1160" s="12" t="s">
        <v>26</v>
      </c>
      <c r="N1160" s="12" t="s">
        <v>35</v>
      </c>
      <c r="O1160">
        <v>1</v>
      </c>
      <c r="P1160">
        <v>0</v>
      </c>
      <c r="Q1160">
        <v>0</v>
      </c>
      <c r="R1160">
        <v>1</v>
      </c>
      <c r="S1160">
        <v>0</v>
      </c>
      <c r="T1160">
        <v>0</v>
      </c>
      <c r="U1160">
        <v>0</v>
      </c>
      <c r="V1160">
        <v>0</v>
      </c>
      <c r="W1160">
        <v>0</v>
      </c>
      <c r="X1160">
        <v>0</v>
      </c>
      <c r="Y1160">
        <v>0</v>
      </c>
      <c r="AA1160" t="s">
        <v>1101</v>
      </c>
      <c r="AB1160" t="s">
        <v>1102</v>
      </c>
      <c r="AF1160" s="21"/>
    </row>
    <row r="1161" spans="1:32">
      <c r="A1161" s="8">
        <v>2022</v>
      </c>
      <c r="B1161" s="8">
        <v>337</v>
      </c>
      <c r="D1161" s="8" t="s">
        <v>18</v>
      </c>
      <c r="F1161" t="s">
        <v>19</v>
      </c>
      <c r="G1161" s="8" t="s">
        <v>35</v>
      </c>
      <c r="I1161" t="s">
        <v>18</v>
      </c>
      <c r="J1161" t="s">
        <v>19</v>
      </c>
      <c r="K1161" s="8" t="s">
        <v>41</v>
      </c>
      <c r="L1161" s="12" t="s">
        <v>37</v>
      </c>
      <c r="M1161" s="12" t="s">
        <v>26</v>
      </c>
      <c r="N1161" s="12" t="s">
        <v>35</v>
      </c>
      <c r="O1161">
        <v>1</v>
      </c>
      <c r="P1161">
        <v>0</v>
      </c>
      <c r="Q1161">
        <v>0</v>
      </c>
      <c r="R1161">
        <v>1</v>
      </c>
      <c r="S1161">
        <v>0</v>
      </c>
      <c r="T1161">
        <v>0</v>
      </c>
      <c r="U1161">
        <v>0</v>
      </c>
      <c r="V1161">
        <v>0</v>
      </c>
      <c r="W1161">
        <v>0</v>
      </c>
      <c r="X1161">
        <v>0</v>
      </c>
      <c r="Y1161">
        <v>0</v>
      </c>
      <c r="AA1161" t="s">
        <v>1101</v>
      </c>
      <c r="AB1161" t="s">
        <v>1102</v>
      </c>
      <c r="AF1161" s="21"/>
    </row>
    <row r="1162" spans="1:32">
      <c r="A1162" s="8">
        <v>2022</v>
      </c>
      <c r="B1162" s="8">
        <v>338</v>
      </c>
      <c r="D1162" s="8" t="s">
        <v>18</v>
      </c>
      <c r="F1162" t="s">
        <v>19</v>
      </c>
      <c r="G1162" s="8" t="s">
        <v>37</v>
      </c>
      <c r="I1162" t="s">
        <v>18</v>
      </c>
      <c r="J1162" t="s">
        <v>19</v>
      </c>
      <c r="K1162" s="8" t="s">
        <v>41</v>
      </c>
      <c r="L1162" t="s">
        <v>37</v>
      </c>
      <c r="O1162">
        <v>1</v>
      </c>
      <c r="P1162">
        <v>0</v>
      </c>
      <c r="Q1162">
        <v>1</v>
      </c>
      <c r="R1162">
        <v>0</v>
      </c>
      <c r="S1162">
        <v>0</v>
      </c>
      <c r="T1162">
        <v>0</v>
      </c>
      <c r="U1162">
        <v>0</v>
      </c>
      <c r="V1162">
        <v>0</v>
      </c>
      <c r="W1162">
        <v>0</v>
      </c>
      <c r="X1162">
        <v>0</v>
      </c>
      <c r="Y1162">
        <v>0</v>
      </c>
      <c r="AA1162" t="s">
        <v>1103</v>
      </c>
      <c r="AB1162" t="s">
        <v>1104</v>
      </c>
      <c r="AF1162" s="21"/>
    </row>
    <row r="1163" spans="1:32">
      <c r="A1163" s="8">
        <v>2022</v>
      </c>
      <c r="B1163" s="8">
        <v>339</v>
      </c>
      <c r="D1163" s="8" t="s">
        <v>18</v>
      </c>
      <c r="F1163" t="s">
        <v>19</v>
      </c>
      <c r="G1163" s="8" t="s">
        <v>37</v>
      </c>
      <c r="I1163" t="s">
        <v>18</v>
      </c>
      <c r="J1163" t="s">
        <v>19</v>
      </c>
      <c r="K1163" s="8" t="s">
        <v>41</v>
      </c>
      <c r="L1163" t="s">
        <v>37</v>
      </c>
      <c r="O1163">
        <v>0</v>
      </c>
      <c r="P1163">
        <v>0</v>
      </c>
      <c r="Q1163">
        <v>0</v>
      </c>
      <c r="R1163">
        <v>0</v>
      </c>
      <c r="S1163">
        <v>0</v>
      </c>
      <c r="T1163">
        <v>0</v>
      </c>
      <c r="U1163">
        <v>0</v>
      </c>
      <c r="V1163">
        <v>1</v>
      </c>
      <c r="W1163">
        <v>0</v>
      </c>
      <c r="X1163">
        <v>0</v>
      </c>
      <c r="Y1163">
        <v>0</v>
      </c>
      <c r="AA1163" t="s">
        <v>1105</v>
      </c>
      <c r="AB1163" t="s">
        <v>1106</v>
      </c>
      <c r="AC1163" t="s">
        <v>1107</v>
      </c>
      <c r="AF1163" s="21"/>
    </row>
    <row r="1164" spans="1:32">
      <c r="A1164" s="8">
        <v>2022</v>
      </c>
      <c r="B1164" s="8">
        <v>340</v>
      </c>
      <c r="D1164" s="8" t="s">
        <v>18</v>
      </c>
      <c r="F1164" t="s">
        <v>19</v>
      </c>
      <c r="G1164" s="8" t="s">
        <v>37</v>
      </c>
      <c r="I1164" t="s">
        <v>18</v>
      </c>
      <c r="J1164" t="s">
        <v>19</v>
      </c>
      <c r="K1164" s="8" t="s">
        <v>41</v>
      </c>
      <c r="L1164" t="s">
        <v>37</v>
      </c>
      <c r="O1164">
        <v>1</v>
      </c>
      <c r="P1164">
        <v>0</v>
      </c>
      <c r="Q1164">
        <v>1</v>
      </c>
      <c r="R1164">
        <v>0</v>
      </c>
      <c r="S1164">
        <v>0</v>
      </c>
      <c r="T1164">
        <v>0</v>
      </c>
      <c r="U1164">
        <v>0</v>
      </c>
      <c r="V1164">
        <v>0</v>
      </c>
      <c r="W1164">
        <v>1</v>
      </c>
      <c r="X1164">
        <v>0</v>
      </c>
      <c r="Y1164">
        <v>0</v>
      </c>
      <c r="Z1164" s="22" t="s">
        <v>1110</v>
      </c>
      <c r="AA1164" t="s">
        <v>1108</v>
      </c>
      <c r="AB1164" t="s">
        <v>1109</v>
      </c>
      <c r="AF1164" s="21"/>
    </row>
    <row r="1165" spans="1:32">
      <c r="A1165" s="8">
        <v>2022</v>
      </c>
      <c r="B1165" s="8">
        <v>341</v>
      </c>
      <c r="D1165" s="8" t="s">
        <v>18</v>
      </c>
      <c r="F1165" t="s">
        <v>19</v>
      </c>
      <c r="G1165" s="8" t="s">
        <v>26</v>
      </c>
      <c r="I1165" t="s">
        <v>18</v>
      </c>
      <c r="J1165" t="s">
        <v>19</v>
      </c>
      <c r="K1165" s="8" t="s">
        <v>41</v>
      </c>
      <c r="O1165">
        <v>1</v>
      </c>
      <c r="P1165">
        <v>0</v>
      </c>
      <c r="Q1165">
        <v>0</v>
      </c>
      <c r="R1165">
        <v>0</v>
      </c>
      <c r="S1165">
        <v>0</v>
      </c>
      <c r="T1165">
        <v>0</v>
      </c>
      <c r="U1165">
        <v>0</v>
      </c>
      <c r="V1165">
        <v>0</v>
      </c>
      <c r="W1165">
        <v>0</v>
      </c>
      <c r="X1165">
        <v>0</v>
      </c>
      <c r="Y1165">
        <v>0</v>
      </c>
      <c r="Z1165" s="22"/>
      <c r="AA1165" t="s">
        <v>1112</v>
      </c>
      <c r="AB1165" t="s">
        <v>1111</v>
      </c>
      <c r="AF1165" s="21"/>
    </row>
    <row r="1166" spans="1:32">
      <c r="A1166" s="8">
        <v>2022</v>
      </c>
      <c r="B1166" s="8">
        <v>341</v>
      </c>
      <c r="D1166" s="8" t="s">
        <v>18</v>
      </c>
      <c r="F1166" t="s">
        <v>19</v>
      </c>
      <c r="G1166" s="8" t="s">
        <v>35</v>
      </c>
      <c r="I1166" t="s">
        <v>18</v>
      </c>
      <c r="J1166" t="s">
        <v>19</v>
      </c>
      <c r="K1166" s="8" t="s">
        <v>41</v>
      </c>
      <c r="O1166">
        <v>1</v>
      </c>
      <c r="P1166">
        <v>0</v>
      </c>
      <c r="Q1166">
        <v>0</v>
      </c>
      <c r="R1166">
        <v>0</v>
      </c>
      <c r="S1166">
        <v>0</v>
      </c>
      <c r="T1166">
        <v>0</v>
      </c>
      <c r="U1166">
        <v>0</v>
      </c>
      <c r="V1166">
        <v>0</v>
      </c>
      <c r="W1166">
        <v>0</v>
      </c>
      <c r="X1166">
        <v>0</v>
      </c>
      <c r="Y1166">
        <v>0</v>
      </c>
      <c r="Z1166" s="22"/>
      <c r="AA1166" t="s">
        <v>1112</v>
      </c>
      <c r="AB1166" t="s">
        <v>1111</v>
      </c>
      <c r="AF1166" s="21"/>
    </row>
    <row r="1167" spans="1:32">
      <c r="A1167" s="8">
        <v>2022</v>
      </c>
      <c r="B1167" s="8">
        <v>341</v>
      </c>
      <c r="D1167" s="8" t="s">
        <v>18</v>
      </c>
      <c r="F1167" t="s">
        <v>19</v>
      </c>
      <c r="G1167" s="8" t="s">
        <v>1006</v>
      </c>
      <c r="I1167" t="s">
        <v>18</v>
      </c>
      <c r="J1167" t="s">
        <v>19</v>
      </c>
      <c r="K1167" s="8" t="s">
        <v>41</v>
      </c>
      <c r="O1167">
        <v>1</v>
      </c>
      <c r="P1167">
        <v>0</v>
      </c>
      <c r="Q1167">
        <v>0</v>
      </c>
      <c r="R1167">
        <v>0</v>
      </c>
      <c r="S1167">
        <v>0</v>
      </c>
      <c r="T1167">
        <v>0</v>
      </c>
      <c r="U1167">
        <v>0</v>
      </c>
      <c r="V1167">
        <v>0</v>
      </c>
      <c r="W1167">
        <v>0</v>
      </c>
      <c r="X1167">
        <v>0</v>
      </c>
      <c r="Y1167">
        <v>0</v>
      </c>
      <c r="Z1167" s="22"/>
      <c r="AA1167" t="s">
        <v>1112</v>
      </c>
      <c r="AB1167" t="s">
        <v>1111</v>
      </c>
      <c r="AF1167" s="21"/>
    </row>
    <row r="1168" spans="1:32">
      <c r="A1168" s="8">
        <v>2022</v>
      </c>
      <c r="B1168" s="8">
        <v>341</v>
      </c>
      <c r="D1168" s="8" t="s">
        <v>18</v>
      </c>
      <c r="F1168" t="s">
        <v>19</v>
      </c>
      <c r="G1168" s="8" t="s">
        <v>161</v>
      </c>
      <c r="I1168" t="s">
        <v>18</v>
      </c>
      <c r="J1168" t="s">
        <v>19</v>
      </c>
      <c r="K1168" s="8" t="s">
        <v>41</v>
      </c>
      <c r="O1168">
        <v>1</v>
      </c>
      <c r="P1168">
        <v>0</v>
      </c>
      <c r="Q1168">
        <v>0</v>
      </c>
      <c r="R1168">
        <v>0</v>
      </c>
      <c r="S1168">
        <v>0</v>
      </c>
      <c r="T1168">
        <v>0</v>
      </c>
      <c r="U1168">
        <v>0</v>
      </c>
      <c r="V1168">
        <v>0</v>
      </c>
      <c r="W1168">
        <v>0</v>
      </c>
      <c r="X1168">
        <v>0</v>
      </c>
      <c r="Y1168">
        <v>0</v>
      </c>
      <c r="Z1168" s="22"/>
      <c r="AA1168" t="s">
        <v>1112</v>
      </c>
      <c r="AB1168" t="s">
        <v>1111</v>
      </c>
      <c r="AF1168" s="21"/>
    </row>
    <row r="1169" spans="1:32">
      <c r="A1169" s="8">
        <v>2022</v>
      </c>
      <c r="B1169" s="8">
        <v>341</v>
      </c>
      <c r="D1169" s="8" t="s">
        <v>18</v>
      </c>
      <c r="F1169" t="s">
        <v>19</v>
      </c>
      <c r="G1169" s="8" t="s">
        <v>203</v>
      </c>
      <c r="H1169" t="s">
        <v>206</v>
      </c>
      <c r="I1169" t="s">
        <v>18</v>
      </c>
      <c r="J1169" t="s">
        <v>19</v>
      </c>
      <c r="K1169" s="8" t="s">
        <v>41</v>
      </c>
      <c r="O1169">
        <v>1</v>
      </c>
      <c r="P1169">
        <v>0</v>
      </c>
      <c r="Q1169">
        <v>0</v>
      </c>
      <c r="R1169">
        <v>0</v>
      </c>
      <c r="S1169">
        <v>0</v>
      </c>
      <c r="T1169">
        <v>0</v>
      </c>
      <c r="U1169">
        <v>0</v>
      </c>
      <c r="V1169">
        <v>0</v>
      </c>
      <c r="W1169">
        <v>0</v>
      </c>
      <c r="X1169">
        <v>0</v>
      </c>
      <c r="Y1169">
        <v>0</v>
      </c>
      <c r="Z1169" s="22"/>
      <c r="AA1169" t="s">
        <v>1112</v>
      </c>
      <c r="AB1169" t="s">
        <v>1111</v>
      </c>
      <c r="AF1169" s="21"/>
    </row>
    <row r="1170" spans="1:32">
      <c r="A1170" s="8">
        <v>2022</v>
      </c>
      <c r="B1170" s="8">
        <v>341</v>
      </c>
      <c r="D1170" s="8" t="s">
        <v>18</v>
      </c>
      <c r="F1170" t="s">
        <v>19</v>
      </c>
      <c r="G1170" s="8" t="s">
        <v>202</v>
      </c>
      <c r="H1170" t="s">
        <v>205</v>
      </c>
      <c r="I1170" t="s">
        <v>18</v>
      </c>
      <c r="J1170" t="s">
        <v>19</v>
      </c>
      <c r="K1170" s="8" t="s">
        <v>41</v>
      </c>
      <c r="O1170">
        <v>1</v>
      </c>
      <c r="P1170">
        <v>0</v>
      </c>
      <c r="Q1170">
        <v>0</v>
      </c>
      <c r="R1170">
        <v>0</v>
      </c>
      <c r="S1170">
        <v>0</v>
      </c>
      <c r="T1170">
        <v>0</v>
      </c>
      <c r="U1170">
        <v>0</v>
      </c>
      <c r="V1170">
        <v>0</v>
      </c>
      <c r="W1170">
        <v>0</v>
      </c>
      <c r="X1170">
        <v>0</v>
      </c>
      <c r="Y1170">
        <v>0</v>
      </c>
      <c r="Z1170" s="22"/>
      <c r="AA1170" t="s">
        <v>1112</v>
      </c>
      <c r="AB1170" t="s">
        <v>1111</v>
      </c>
      <c r="AF1170" s="21"/>
    </row>
    <row r="1171" spans="1:32">
      <c r="A1171" s="8">
        <v>2022</v>
      </c>
      <c r="B1171" s="8">
        <v>341</v>
      </c>
      <c r="D1171" s="8" t="s">
        <v>18</v>
      </c>
      <c r="F1171" t="s">
        <v>19</v>
      </c>
      <c r="G1171" s="8" t="s">
        <v>193</v>
      </c>
      <c r="H1171" t="s">
        <v>185</v>
      </c>
      <c r="I1171" t="s">
        <v>18</v>
      </c>
      <c r="J1171" t="s">
        <v>19</v>
      </c>
      <c r="K1171" s="8" t="s">
        <v>41</v>
      </c>
      <c r="O1171">
        <v>1</v>
      </c>
      <c r="P1171">
        <v>0</v>
      </c>
      <c r="Q1171">
        <v>0</v>
      </c>
      <c r="R1171">
        <v>0</v>
      </c>
      <c r="S1171">
        <v>0</v>
      </c>
      <c r="T1171">
        <v>0</v>
      </c>
      <c r="U1171">
        <v>0</v>
      </c>
      <c r="V1171">
        <v>0</v>
      </c>
      <c r="W1171">
        <v>0</v>
      </c>
      <c r="X1171">
        <v>0</v>
      </c>
      <c r="Y1171">
        <v>0</v>
      </c>
      <c r="Z1171" s="22"/>
      <c r="AA1171" t="s">
        <v>1112</v>
      </c>
      <c r="AB1171" t="s">
        <v>1111</v>
      </c>
      <c r="AF1171" s="21"/>
    </row>
    <row r="1172" spans="1:32">
      <c r="A1172" s="8">
        <v>2022</v>
      </c>
      <c r="B1172" s="8">
        <v>341</v>
      </c>
      <c r="D1172" s="8" t="s">
        <v>18</v>
      </c>
      <c r="F1172" t="s">
        <v>19</v>
      </c>
      <c r="G1172" s="8" t="s">
        <v>37</v>
      </c>
      <c r="I1172" t="s">
        <v>18</v>
      </c>
      <c r="J1172" t="s">
        <v>19</v>
      </c>
      <c r="K1172" s="8" t="s">
        <v>41</v>
      </c>
      <c r="O1172">
        <v>1</v>
      </c>
      <c r="P1172">
        <v>0</v>
      </c>
      <c r="Q1172">
        <v>0</v>
      </c>
      <c r="R1172">
        <v>0</v>
      </c>
      <c r="S1172">
        <v>0</v>
      </c>
      <c r="T1172">
        <v>0</v>
      </c>
      <c r="U1172">
        <v>0</v>
      </c>
      <c r="V1172">
        <v>0</v>
      </c>
      <c r="W1172">
        <v>0</v>
      </c>
      <c r="X1172">
        <v>0</v>
      </c>
      <c r="Y1172">
        <v>0</v>
      </c>
      <c r="Z1172" s="22"/>
      <c r="AA1172" t="s">
        <v>1112</v>
      </c>
      <c r="AB1172" t="s">
        <v>1111</v>
      </c>
      <c r="AF1172" s="21"/>
    </row>
    <row r="1173" spans="1:32">
      <c r="A1173" s="8">
        <v>2022</v>
      </c>
      <c r="B1173" s="8">
        <v>342</v>
      </c>
      <c r="D1173" s="8" t="s">
        <v>18</v>
      </c>
      <c r="E1173" t="s">
        <v>28</v>
      </c>
      <c r="F1173" t="s">
        <v>19</v>
      </c>
      <c r="G1173" s="8" t="s">
        <v>37</v>
      </c>
      <c r="I1173" t="s">
        <v>192</v>
      </c>
      <c r="J1173" t="s">
        <v>195</v>
      </c>
      <c r="K1173" s="8" t="s">
        <v>41</v>
      </c>
      <c r="L1173" t="s">
        <v>37</v>
      </c>
      <c r="O1173">
        <v>1</v>
      </c>
      <c r="P1173">
        <v>0</v>
      </c>
      <c r="Q1173">
        <v>1</v>
      </c>
      <c r="R1173">
        <v>0</v>
      </c>
      <c r="S1173">
        <v>0</v>
      </c>
      <c r="T1173">
        <v>0</v>
      </c>
      <c r="U1173">
        <v>0</v>
      </c>
      <c r="V1173">
        <v>0</v>
      </c>
      <c r="W1173">
        <v>1</v>
      </c>
      <c r="X1173">
        <v>1</v>
      </c>
      <c r="Y1173">
        <v>0</v>
      </c>
      <c r="Z1173" s="22" t="s">
        <v>1119</v>
      </c>
      <c r="AA1173" t="s">
        <v>1113</v>
      </c>
      <c r="AB1173" t="s">
        <v>1114</v>
      </c>
      <c r="AC1173" t="s">
        <v>1117</v>
      </c>
      <c r="AD1173" t="s">
        <v>1118</v>
      </c>
      <c r="AF1173" s="21"/>
    </row>
    <row r="1174" spans="1:32">
      <c r="A1174" s="8">
        <v>2022</v>
      </c>
      <c r="B1174" s="8">
        <v>343</v>
      </c>
      <c r="D1174" s="8" t="s">
        <v>18</v>
      </c>
      <c r="F1174" t="s">
        <v>19</v>
      </c>
      <c r="G1174" s="8" t="s">
        <v>26</v>
      </c>
      <c r="I1174" t="s">
        <v>18</v>
      </c>
      <c r="J1174" t="s">
        <v>19</v>
      </c>
      <c r="K1174" s="8" t="s">
        <v>41</v>
      </c>
      <c r="O1174">
        <v>1</v>
      </c>
      <c r="P1174">
        <v>0</v>
      </c>
      <c r="Q1174">
        <v>0</v>
      </c>
      <c r="R1174">
        <v>0</v>
      </c>
      <c r="S1174">
        <v>0</v>
      </c>
      <c r="T1174">
        <v>0</v>
      </c>
      <c r="U1174">
        <v>0</v>
      </c>
      <c r="V1174">
        <v>0</v>
      </c>
      <c r="W1174">
        <v>0</v>
      </c>
      <c r="X1174">
        <v>0</v>
      </c>
      <c r="Y1174">
        <v>0</v>
      </c>
      <c r="Z1174" s="22"/>
      <c r="AA1174" t="s">
        <v>1115</v>
      </c>
      <c r="AB1174" t="s">
        <v>1116</v>
      </c>
      <c r="AF1174" s="21"/>
    </row>
    <row r="1175" spans="1:32">
      <c r="A1175" s="8">
        <v>2022</v>
      </c>
      <c r="B1175" s="8">
        <v>343</v>
      </c>
      <c r="D1175" s="8" t="s">
        <v>18</v>
      </c>
      <c r="F1175" t="s">
        <v>19</v>
      </c>
      <c r="G1175" s="8" t="s">
        <v>35</v>
      </c>
      <c r="I1175" t="s">
        <v>18</v>
      </c>
      <c r="J1175" t="s">
        <v>19</v>
      </c>
      <c r="K1175" s="8" t="s">
        <v>41</v>
      </c>
      <c r="O1175">
        <v>1</v>
      </c>
      <c r="P1175">
        <v>0</v>
      </c>
      <c r="Q1175">
        <v>0</v>
      </c>
      <c r="R1175">
        <v>0</v>
      </c>
      <c r="S1175">
        <v>0</v>
      </c>
      <c r="T1175">
        <v>0</v>
      </c>
      <c r="U1175">
        <v>0</v>
      </c>
      <c r="V1175">
        <v>0</v>
      </c>
      <c r="W1175">
        <v>0</v>
      </c>
      <c r="X1175">
        <v>0</v>
      </c>
      <c r="Y1175">
        <v>0</v>
      </c>
      <c r="Z1175" s="22"/>
      <c r="AA1175" t="s">
        <v>1115</v>
      </c>
      <c r="AB1175" t="s">
        <v>1116</v>
      </c>
      <c r="AF1175" s="21"/>
    </row>
    <row r="1176" spans="1:32">
      <c r="A1176" s="8">
        <v>2022</v>
      </c>
      <c r="B1176" s="8">
        <v>343</v>
      </c>
      <c r="D1176" s="8" t="s">
        <v>18</v>
      </c>
      <c r="F1176" t="s">
        <v>19</v>
      </c>
      <c r="G1176" s="8" t="s">
        <v>1006</v>
      </c>
      <c r="I1176" t="s">
        <v>18</v>
      </c>
      <c r="J1176" t="s">
        <v>19</v>
      </c>
      <c r="K1176" s="8" t="s">
        <v>41</v>
      </c>
      <c r="O1176">
        <v>1</v>
      </c>
      <c r="P1176">
        <v>0</v>
      </c>
      <c r="Q1176">
        <v>0</v>
      </c>
      <c r="R1176">
        <v>0</v>
      </c>
      <c r="S1176">
        <v>0</v>
      </c>
      <c r="T1176">
        <v>0</v>
      </c>
      <c r="U1176">
        <v>0</v>
      </c>
      <c r="V1176">
        <v>0</v>
      </c>
      <c r="W1176">
        <v>0</v>
      </c>
      <c r="X1176">
        <v>0</v>
      </c>
      <c r="Y1176">
        <v>0</v>
      </c>
      <c r="Z1176" s="22"/>
      <c r="AA1176" t="s">
        <v>1115</v>
      </c>
      <c r="AB1176" t="s">
        <v>1116</v>
      </c>
      <c r="AF1176" s="21"/>
    </row>
    <row r="1177" spans="1:32">
      <c r="A1177" s="8">
        <v>2022</v>
      </c>
      <c r="B1177" s="8">
        <v>343</v>
      </c>
      <c r="D1177" s="8" t="s">
        <v>18</v>
      </c>
      <c r="F1177" t="s">
        <v>19</v>
      </c>
      <c r="G1177" s="8" t="s">
        <v>161</v>
      </c>
      <c r="I1177" t="s">
        <v>18</v>
      </c>
      <c r="J1177" t="s">
        <v>19</v>
      </c>
      <c r="K1177" s="8" t="s">
        <v>41</v>
      </c>
      <c r="O1177">
        <v>1</v>
      </c>
      <c r="P1177">
        <v>0</v>
      </c>
      <c r="Q1177">
        <v>0</v>
      </c>
      <c r="R1177">
        <v>0</v>
      </c>
      <c r="S1177">
        <v>0</v>
      </c>
      <c r="T1177">
        <v>0</v>
      </c>
      <c r="U1177">
        <v>0</v>
      </c>
      <c r="V1177">
        <v>0</v>
      </c>
      <c r="W1177">
        <v>0</v>
      </c>
      <c r="X1177">
        <v>0</v>
      </c>
      <c r="Y1177">
        <v>0</v>
      </c>
      <c r="Z1177" s="22"/>
      <c r="AA1177" t="s">
        <v>1115</v>
      </c>
      <c r="AB1177" t="s">
        <v>1116</v>
      </c>
      <c r="AF1177" s="21"/>
    </row>
    <row r="1178" spans="1:32">
      <c r="A1178" s="8">
        <v>2022</v>
      </c>
      <c r="B1178" s="8">
        <v>343</v>
      </c>
      <c r="D1178" s="8" t="s">
        <v>18</v>
      </c>
      <c r="F1178" t="s">
        <v>19</v>
      </c>
      <c r="G1178" s="8" t="s">
        <v>203</v>
      </c>
      <c r="H1178" t="s">
        <v>206</v>
      </c>
      <c r="I1178" t="s">
        <v>18</v>
      </c>
      <c r="J1178" t="s">
        <v>19</v>
      </c>
      <c r="K1178" s="8" t="s">
        <v>41</v>
      </c>
      <c r="O1178">
        <v>1</v>
      </c>
      <c r="P1178">
        <v>0</v>
      </c>
      <c r="Q1178">
        <v>0</v>
      </c>
      <c r="R1178">
        <v>0</v>
      </c>
      <c r="S1178">
        <v>0</v>
      </c>
      <c r="T1178">
        <v>0</v>
      </c>
      <c r="U1178">
        <v>0</v>
      </c>
      <c r="V1178">
        <v>0</v>
      </c>
      <c r="W1178">
        <v>0</v>
      </c>
      <c r="X1178">
        <v>0</v>
      </c>
      <c r="Y1178">
        <v>0</v>
      </c>
      <c r="Z1178" s="22"/>
      <c r="AA1178" t="s">
        <v>1115</v>
      </c>
      <c r="AB1178" t="s">
        <v>1116</v>
      </c>
      <c r="AF1178" s="21"/>
    </row>
    <row r="1179" spans="1:32">
      <c r="A1179" s="8">
        <v>2022</v>
      </c>
      <c r="B1179" s="8">
        <v>343</v>
      </c>
      <c r="D1179" s="8" t="s">
        <v>18</v>
      </c>
      <c r="F1179" t="s">
        <v>19</v>
      </c>
      <c r="G1179" s="8" t="s">
        <v>202</v>
      </c>
      <c r="H1179" t="s">
        <v>205</v>
      </c>
      <c r="I1179" t="s">
        <v>18</v>
      </c>
      <c r="J1179" t="s">
        <v>19</v>
      </c>
      <c r="K1179" s="8" t="s">
        <v>41</v>
      </c>
      <c r="O1179">
        <v>1</v>
      </c>
      <c r="P1179">
        <v>0</v>
      </c>
      <c r="Q1179">
        <v>0</v>
      </c>
      <c r="R1179">
        <v>0</v>
      </c>
      <c r="S1179">
        <v>0</v>
      </c>
      <c r="T1179">
        <v>0</v>
      </c>
      <c r="U1179">
        <v>0</v>
      </c>
      <c r="V1179">
        <v>0</v>
      </c>
      <c r="W1179">
        <v>0</v>
      </c>
      <c r="X1179">
        <v>0</v>
      </c>
      <c r="Y1179">
        <v>0</v>
      </c>
      <c r="Z1179" s="22"/>
      <c r="AA1179" t="s">
        <v>1115</v>
      </c>
      <c r="AB1179" t="s">
        <v>1116</v>
      </c>
      <c r="AF1179" s="21"/>
    </row>
    <row r="1180" spans="1:32">
      <c r="A1180" s="8">
        <v>2022</v>
      </c>
      <c r="B1180" s="8">
        <v>343</v>
      </c>
      <c r="D1180" s="8" t="s">
        <v>18</v>
      </c>
      <c r="F1180" t="s">
        <v>19</v>
      </c>
      <c r="G1180" s="8" t="s">
        <v>193</v>
      </c>
      <c r="H1180" t="s">
        <v>185</v>
      </c>
      <c r="I1180" t="s">
        <v>18</v>
      </c>
      <c r="J1180" t="s">
        <v>19</v>
      </c>
      <c r="K1180" s="8" t="s">
        <v>41</v>
      </c>
      <c r="O1180">
        <v>1</v>
      </c>
      <c r="P1180">
        <v>0</v>
      </c>
      <c r="Q1180">
        <v>0</v>
      </c>
      <c r="R1180">
        <v>0</v>
      </c>
      <c r="S1180">
        <v>0</v>
      </c>
      <c r="T1180">
        <v>0</v>
      </c>
      <c r="U1180">
        <v>0</v>
      </c>
      <c r="V1180">
        <v>0</v>
      </c>
      <c r="W1180">
        <v>0</v>
      </c>
      <c r="X1180">
        <v>0</v>
      </c>
      <c r="Y1180">
        <v>0</v>
      </c>
      <c r="Z1180" s="22"/>
      <c r="AA1180" t="s">
        <v>1115</v>
      </c>
      <c r="AB1180" t="s">
        <v>1116</v>
      </c>
      <c r="AF1180" s="21"/>
    </row>
    <row r="1181" spans="1:32">
      <c r="A1181" s="8">
        <v>2022</v>
      </c>
      <c r="B1181" s="8">
        <v>343</v>
      </c>
      <c r="D1181" s="8" t="s">
        <v>18</v>
      </c>
      <c r="F1181" t="s">
        <v>19</v>
      </c>
      <c r="G1181" s="8" t="s">
        <v>37</v>
      </c>
      <c r="I1181" t="s">
        <v>18</v>
      </c>
      <c r="J1181" t="s">
        <v>19</v>
      </c>
      <c r="K1181" s="8" t="s">
        <v>41</v>
      </c>
      <c r="O1181">
        <v>1</v>
      </c>
      <c r="P1181">
        <v>0</v>
      </c>
      <c r="Q1181">
        <v>0</v>
      </c>
      <c r="R1181">
        <v>0</v>
      </c>
      <c r="S1181">
        <v>0</v>
      </c>
      <c r="T1181">
        <v>0</v>
      </c>
      <c r="U1181">
        <v>0</v>
      </c>
      <c r="V1181">
        <v>0</v>
      </c>
      <c r="W1181">
        <v>0</v>
      </c>
      <c r="X1181">
        <v>0</v>
      </c>
      <c r="Y1181">
        <v>0</v>
      </c>
      <c r="Z1181" s="22"/>
      <c r="AA1181" t="s">
        <v>1115</v>
      </c>
      <c r="AB1181" t="s">
        <v>1116</v>
      </c>
      <c r="AF1181" s="21"/>
    </row>
    <row r="1182" spans="1:32">
      <c r="A1182" s="8">
        <v>2022</v>
      </c>
      <c r="B1182" s="8">
        <v>344</v>
      </c>
      <c r="D1182" s="8" t="s">
        <v>18</v>
      </c>
      <c r="F1182" t="s">
        <v>19</v>
      </c>
      <c r="G1182" s="8" t="s">
        <v>37</v>
      </c>
      <c r="I1182" t="s">
        <v>18</v>
      </c>
      <c r="J1182" t="s">
        <v>19</v>
      </c>
      <c r="K1182" s="8" t="s">
        <v>41</v>
      </c>
      <c r="L1182" t="s">
        <v>37</v>
      </c>
      <c r="O1182">
        <v>1</v>
      </c>
      <c r="P1182">
        <v>0</v>
      </c>
      <c r="Q1182">
        <v>1</v>
      </c>
      <c r="R1182">
        <v>0</v>
      </c>
      <c r="S1182">
        <v>0</v>
      </c>
      <c r="T1182">
        <v>0</v>
      </c>
      <c r="U1182">
        <v>0</v>
      </c>
      <c r="V1182">
        <v>0</v>
      </c>
      <c r="W1182">
        <v>0</v>
      </c>
      <c r="X1182">
        <v>0</v>
      </c>
      <c r="Y1182">
        <v>0</v>
      </c>
      <c r="Z1182" s="22"/>
      <c r="AA1182" t="s">
        <v>1120</v>
      </c>
      <c r="AB1182" t="s">
        <v>1121</v>
      </c>
      <c r="AF1182" s="21"/>
    </row>
    <row r="1183" spans="1:32">
      <c r="A1183" s="8">
        <v>2022</v>
      </c>
      <c r="B1183" s="8">
        <v>345</v>
      </c>
      <c r="D1183" s="8" t="s">
        <v>18</v>
      </c>
      <c r="F1183" t="s">
        <v>19</v>
      </c>
      <c r="G1183" s="8" t="s">
        <v>37</v>
      </c>
      <c r="I1183" t="s">
        <v>18</v>
      </c>
      <c r="J1183" t="s">
        <v>19</v>
      </c>
      <c r="K1183" s="8" t="s">
        <v>41</v>
      </c>
      <c r="L1183" t="s">
        <v>37</v>
      </c>
      <c r="O1183">
        <v>1</v>
      </c>
      <c r="P1183">
        <v>0</v>
      </c>
      <c r="Q1183">
        <v>1</v>
      </c>
      <c r="R1183">
        <v>0</v>
      </c>
      <c r="S1183">
        <v>0</v>
      </c>
      <c r="T1183">
        <v>0</v>
      </c>
      <c r="U1183">
        <v>0</v>
      </c>
      <c r="V1183">
        <v>0</v>
      </c>
      <c r="W1183">
        <v>0</v>
      </c>
      <c r="X1183">
        <v>0</v>
      </c>
      <c r="Y1183">
        <v>0</v>
      </c>
      <c r="Z1183" s="22"/>
      <c r="AA1183" t="s">
        <v>1122</v>
      </c>
      <c r="AB1183" t="s">
        <v>1123</v>
      </c>
      <c r="AF1183" s="21"/>
    </row>
    <row r="1184" spans="1:32">
      <c r="A1184" s="8">
        <v>2022</v>
      </c>
      <c r="B1184" s="8">
        <v>346</v>
      </c>
      <c r="D1184" s="8" t="s">
        <v>18</v>
      </c>
      <c r="E1184" t="s">
        <v>28</v>
      </c>
      <c r="F1184" t="s">
        <v>19</v>
      </c>
      <c r="G1184" s="8" t="s">
        <v>37</v>
      </c>
      <c r="I1184" t="s">
        <v>18</v>
      </c>
      <c r="J1184" t="s">
        <v>19</v>
      </c>
      <c r="K1184" s="8" t="s">
        <v>41</v>
      </c>
      <c r="L1184" t="s">
        <v>37</v>
      </c>
      <c r="O1184">
        <v>1</v>
      </c>
      <c r="P1184">
        <v>0</v>
      </c>
      <c r="Q1184">
        <v>1</v>
      </c>
      <c r="R1184">
        <v>0</v>
      </c>
      <c r="S1184">
        <v>0</v>
      </c>
      <c r="T1184">
        <v>0</v>
      </c>
      <c r="U1184">
        <v>0</v>
      </c>
      <c r="V1184">
        <v>1</v>
      </c>
      <c r="W1184">
        <v>0</v>
      </c>
      <c r="X1184">
        <v>0</v>
      </c>
      <c r="Y1184">
        <v>0</v>
      </c>
      <c r="Z1184" s="22"/>
      <c r="AA1184" t="s">
        <v>1124</v>
      </c>
      <c r="AB1184" t="s">
        <v>1125</v>
      </c>
      <c r="AC1184" t="s">
        <v>1126</v>
      </c>
      <c r="AF1184" s="21"/>
    </row>
    <row r="1185" spans="1:32">
      <c r="A1185" s="8">
        <v>2022</v>
      </c>
      <c r="B1185" s="8">
        <v>346</v>
      </c>
      <c r="D1185" s="8" t="s">
        <v>60</v>
      </c>
      <c r="E1185" t="s">
        <v>28</v>
      </c>
      <c r="F1185" t="s">
        <v>61</v>
      </c>
      <c r="G1185" s="8" t="s">
        <v>37</v>
      </c>
      <c r="I1185" t="s">
        <v>18</v>
      </c>
      <c r="J1185" t="s">
        <v>19</v>
      </c>
      <c r="K1185" s="8" t="s">
        <v>41</v>
      </c>
      <c r="L1185" t="s">
        <v>37</v>
      </c>
      <c r="O1185">
        <v>1</v>
      </c>
      <c r="P1185">
        <v>0</v>
      </c>
      <c r="Q1185">
        <v>1</v>
      </c>
      <c r="R1185">
        <v>0</v>
      </c>
      <c r="S1185">
        <v>0</v>
      </c>
      <c r="T1185">
        <v>0</v>
      </c>
      <c r="U1185">
        <v>0</v>
      </c>
      <c r="V1185">
        <v>1</v>
      </c>
      <c r="W1185">
        <v>0</v>
      </c>
      <c r="X1185">
        <v>0</v>
      </c>
      <c r="Y1185">
        <v>0</v>
      </c>
      <c r="Z1185" s="22"/>
      <c r="AA1185" t="s">
        <v>1124</v>
      </c>
      <c r="AB1185" t="s">
        <v>1125</v>
      </c>
      <c r="AC1185" t="s">
        <v>1126</v>
      </c>
      <c r="AF1185" s="21"/>
    </row>
    <row r="1186" spans="1:32">
      <c r="A1186" s="8">
        <v>2022</v>
      </c>
      <c r="B1186" s="8">
        <v>347</v>
      </c>
      <c r="D1186" s="8" t="s">
        <v>18</v>
      </c>
      <c r="F1186" t="s">
        <v>19</v>
      </c>
      <c r="G1186" s="8" t="s">
        <v>37</v>
      </c>
      <c r="I1186" t="s">
        <v>18</v>
      </c>
      <c r="J1186" t="s">
        <v>19</v>
      </c>
      <c r="K1186" s="8" t="s">
        <v>41</v>
      </c>
      <c r="L1186" t="s">
        <v>37</v>
      </c>
      <c r="O1186">
        <v>1</v>
      </c>
      <c r="P1186">
        <v>0</v>
      </c>
      <c r="Q1186">
        <v>1</v>
      </c>
      <c r="R1186">
        <v>0</v>
      </c>
      <c r="S1186">
        <v>0</v>
      </c>
      <c r="T1186">
        <v>0</v>
      </c>
      <c r="U1186">
        <v>0</v>
      </c>
      <c r="V1186">
        <v>0</v>
      </c>
      <c r="W1186">
        <v>0</v>
      </c>
      <c r="X1186">
        <v>0</v>
      </c>
      <c r="Y1186">
        <v>0</v>
      </c>
      <c r="AA1186" t="s">
        <v>1127</v>
      </c>
      <c r="AB1186" t="s">
        <v>1128</v>
      </c>
      <c r="AF1186" s="21"/>
    </row>
    <row r="1187" spans="1:32">
      <c r="A1187" s="8">
        <v>2022</v>
      </c>
      <c r="B1187" s="8">
        <v>347</v>
      </c>
      <c r="D1187" s="8" t="s">
        <v>18</v>
      </c>
      <c r="F1187" t="s">
        <v>19</v>
      </c>
      <c r="G1187" s="8" t="s">
        <v>37</v>
      </c>
      <c r="I1187" t="s">
        <v>18</v>
      </c>
      <c r="J1187" t="s">
        <v>19</v>
      </c>
      <c r="K1187" s="8" t="s">
        <v>41</v>
      </c>
      <c r="L1187" t="s">
        <v>37</v>
      </c>
      <c r="O1187">
        <v>1</v>
      </c>
      <c r="P1187">
        <v>1</v>
      </c>
      <c r="Q1187">
        <v>1</v>
      </c>
      <c r="R1187">
        <v>0</v>
      </c>
      <c r="S1187">
        <v>0</v>
      </c>
      <c r="T1187">
        <v>0</v>
      </c>
      <c r="U1187">
        <v>0</v>
      </c>
      <c r="V1187">
        <v>0</v>
      </c>
      <c r="W1187">
        <v>0</v>
      </c>
      <c r="X1187">
        <v>0</v>
      </c>
      <c r="Y1187">
        <v>0</v>
      </c>
      <c r="AA1187" t="s">
        <v>1129</v>
      </c>
      <c r="AB1187" t="s">
        <v>1130</v>
      </c>
      <c r="AF1187" s="21"/>
    </row>
    <row r="1188" spans="1:32">
      <c r="A1188" s="8">
        <v>2022</v>
      </c>
      <c r="B1188" s="8">
        <v>348</v>
      </c>
      <c r="D1188" s="8" t="s">
        <v>18</v>
      </c>
      <c r="F1188" t="s">
        <v>19</v>
      </c>
      <c r="G1188" s="8" t="s">
        <v>1131</v>
      </c>
      <c r="K1188" s="8" t="s">
        <v>41</v>
      </c>
      <c r="L1188" t="s">
        <v>1131</v>
      </c>
      <c r="O1188">
        <v>0</v>
      </c>
      <c r="P1188">
        <v>0</v>
      </c>
      <c r="Q1188">
        <v>0</v>
      </c>
      <c r="R1188">
        <v>1</v>
      </c>
      <c r="S1188">
        <v>0</v>
      </c>
      <c r="T1188">
        <v>0</v>
      </c>
      <c r="U1188">
        <v>0</v>
      </c>
      <c r="V1188">
        <v>0</v>
      </c>
      <c r="W1188">
        <v>1</v>
      </c>
      <c r="X1188">
        <v>1</v>
      </c>
      <c r="Y1188">
        <v>0</v>
      </c>
      <c r="Z1188" t="s">
        <v>1134</v>
      </c>
      <c r="AA1188" t="s">
        <v>1133</v>
      </c>
      <c r="AB1188" t="s">
        <v>1135</v>
      </c>
      <c r="AC1188" t="s">
        <v>1150</v>
      </c>
      <c r="AD1188" t="s">
        <v>1151</v>
      </c>
      <c r="AF1188" s="21"/>
    </row>
    <row r="1189" spans="1:32">
      <c r="A1189" s="8">
        <v>2022</v>
      </c>
      <c r="B1189" s="8">
        <v>348</v>
      </c>
      <c r="D1189" s="8" t="s">
        <v>18</v>
      </c>
      <c r="F1189" t="s">
        <v>19</v>
      </c>
      <c r="G1189" s="8" t="s">
        <v>22</v>
      </c>
      <c r="H1189" t="s">
        <v>24</v>
      </c>
      <c r="K1189" s="8" t="s">
        <v>41</v>
      </c>
      <c r="L1189" t="s">
        <v>1131</v>
      </c>
      <c r="O1189">
        <v>0</v>
      </c>
      <c r="P1189">
        <v>0</v>
      </c>
      <c r="Q1189">
        <v>0</v>
      </c>
      <c r="R1189">
        <v>1</v>
      </c>
      <c r="S1189">
        <v>0</v>
      </c>
      <c r="T1189">
        <v>0</v>
      </c>
      <c r="U1189">
        <v>0</v>
      </c>
      <c r="V1189">
        <v>0</v>
      </c>
      <c r="W1189">
        <v>1</v>
      </c>
      <c r="X1189">
        <v>1</v>
      </c>
      <c r="Y1189">
        <v>0</v>
      </c>
      <c r="Z1189" t="s">
        <v>1134</v>
      </c>
      <c r="AA1189" t="s">
        <v>1133</v>
      </c>
      <c r="AB1189" t="s">
        <v>1135</v>
      </c>
      <c r="AC1189" t="s">
        <v>1150</v>
      </c>
      <c r="AD1189" t="s">
        <v>1151</v>
      </c>
      <c r="AF1189" s="21"/>
    </row>
    <row r="1190" spans="1:32">
      <c r="A1190" s="8">
        <v>2022</v>
      </c>
      <c r="B1190" s="8">
        <v>348</v>
      </c>
      <c r="D1190" s="8" t="s">
        <v>18</v>
      </c>
      <c r="F1190" t="s">
        <v>19</v>
      </c>
      <c r="G1190" s="8" t="s">
        <v>484</v>
      </c>
      <c r="H1190" t="s">
        <v>486</v>
      </c>
      <c r="K1190" s="8" t="s">
        <v>41</v>
      </c>
      <c r="L1190" t="s">
        <v>1131</v>
      </c>
      <c r="O1190">
        <v>0</v>
      </c>
      <c r="P1190">
        <v>0</v>
      </c>
      <c r="Q1190">
        <v>0</v>
      </c>
      <c r="R1190">
        <v>1</v>
      </c>
      <c r="S1190">
        <v>0</v>
      </c>
      <c r="T1190">
        <v>0</v>
      </c>
      <c r="U1190">
        <v>0</v>
      </c>
      <c r="V1190">
        <v>0</v>
      </c>
      <c r="W1190">
        <v>1</v>
      </c>
      <c r="X1190">
        <v>1</v>
      </c>
      <c r="Y1190">
        <v>0</v>
      </c>
      <c r="Z1190" t="s">
        <v>1134</v>
      </c>
      <c r="AA1190" t="s">
        <v>1133</v>
      </c>
      <c r="AB1190" t="s">
        <v>1135</v>
      </c>
      <c r="AC1190" t="s">
        <v>1150</v>
      </c>
      <c r="AD1190" t="s">
        <v>1151</v>
      </c>
      <c r="AF1190" s="21"/>
    </row>
    <row r="1191" spans="1:32">
      <c r="A1191" s="8">
        <v>2022</v>
      </c>
      <c r="B1191" s="8">
        <v>348</v>
      </c>
      <c r="D1191" s="8" t="s">
        <v>18</v>
      </c>
      <c r="F1191" t="s">
        <v>19</v>
      </c>
      <c r="G1191" s="8" t="s">
        <v>152</v>
      </c>
      <c r="H1191" t="s">
        <v>184</v>
      </c>
      <c r="K1191" s="8" t="s">
        <v>41</v>
      </c>
      <c r="L1191" t="s">
        <v>1131</v>
      </c>
      <c r="O1191">
        <v>0</v>
      </c>
      <c r="P1191">
        <v>0</v>
      </c>
      <c r="Q1191">
        <v>0</v>
      </c>
      <c r="R1191">
        <v>1</v>
      </c>
      <c r="S1191">
        <v>0</v>
      </c>
      <c r="T1191">
        <v>0</v>
      </c>
      <c r="U1191">
        <v>0</v>
      </c>
      <c r="V1191">
        <v>0</v>
      </c>
      <c r="W1191">
        <v>1</v>
      </c>
      <c r="X1191">
        <v>1</v>
      </c>
      <c r="Y1191">
        <v>0</v>
      </c>
      <c r="Z1191" t="s">
        <v>1134</v>
      </c>
      <c r="AA1191" t="s">
        <v>1133</v>
      </c>
      <c r="AB1191" t="s">
        <v>1135</v>
      </c>
      <c r="AC1191" t="s">
        <v>1150</v>
      </c>
      <c r="AD1191" t="s">
        <v>1151</v>
      </c>
      <c r="AF1191" s="21"/>
    </row>
    <row r="1192" spans="1:32">
      <c r="A1192" s="8">
        <v>2022</v>
      </c>
      <c r="B1192" s="8">
        <v>348</v>
      </c>
      <c r="D1192" s="8" t="s">
        <v>18</v>
      </c>
      <c r="F1192" t="s">
        <v>19</v>
      </c>
      <c r="G1192" s="8" t="s">
        <v>485</v>
      </c>
      <c r="H1192" t="s">
        <v>487</v>
      </c>
      <c r="K1192" s="8" t="s">
        <v>41</v>
      </c>
      <c r="L1192" t="s">
        <v>1131</v>
      </c>
      <c r="O1192">
        <v>0</v>
      </c>
      <c r="P1192">
        <v>0</v>
      </c>
      <c r="Q1192">
        <v>0</v>
      </c>
      <c r="R1192">
        <v>1</v>
      </c>
      <c r="S1192">
        <v>0</v>
      </c>
      <c r="T1192">
        <v>0</v>
      </c>
      <c r="U1192">
        <v>0</v>
      </c>
      <c r="V1192">
        <v>0</v>
      </c>
      <c r="W1192">
        <v>1</v>
      </c>
      <c r="X1192">
        <v>1</v>
      </c>
      <c r="Y1192">
        <v>0</v>
      </c>
      <c r="Z1192" t="s">
        <v>1134</v>
      </c>
      <c r="AA1192" t="s">
        <v>1133</v>
      </c>
      <c r="AB1192" t="s">
        <v>1135</v>
      </c>
      <c r="AC1192" t="s">
        <v>1150</v>
      </c>
      <c r="AD1192" t="s">
        <v>1151</v>
      </c>
      <c r="AF1192" s="21"/>
    </row>
    <row r="1193" spans="1:32">
      <c r="A1193" s="8">
        <v>2022</v>
      </c>
      <c r="B1193" s="8">
        <v>348</v>
      </c>
      <c r="D1193" s="8" t="s">
        <v>18</v>
      </c>
      <c r="F1193" t="s">
        <v>19</v>
      </c>
      <c r="G1193" s="8" t="s">
        <v>60</v>
      </c>
      <c r="H1193" t="s">
        <v>61</v>
      </c>
      <c r="K1193" s="8" t="s">
        <v>41</v>
      </c>
      <c r="L1193" t="s">
        <v>1131</v>
      </c>
      <c r="O1193">
        <v>0</v>
      </c>
      <c r="P1193">
        <v>0</v>
      </c>
      <c r="Q1193">
        <v>0</v>
      </c>
      <c r="R1193">
        <v>1</v>
      </c>
      <c r="S1193">
        <v>0</v>
      </c>
      <c r="T1193">
        <v>0</v>
      </c>
      <c r="U1193">
        <v>0</v>
      </c>
      <c r="V1193">
        <v>0</v>
      </c>
      <c r="W1193">
        <v>1</v>
      </c>
      <c r="X1193">
        <v>1</v>
      </c>
      <c r="Y1193">
        <v>0</v>
      </c>
      <c r="Z1193" t="s">
        <v>1134</v>
      </c>
      <c r="AA1193" t="s">
        <v>1133</v>
      </c>
      <c r="AB1193" t="s">
        <v>1135</v>
      </c>
      <c r="AC1193" t="s">
        <v>1150</v>
      </c>
      <c r="AD1193" t="s">
        <v>1151</v>
      </c>
      <c r="AF1193" s="21"/>
    </row>
    <row r="1194" spans="1:32">
      <c r="A1194" s="8">
        <v>2022</v>
      </c>
      <c r="B1194" s="8">
        <v>348</v>
      </c>
      <c r="D1194" s="8" t="s">
        <v>18</v>
      </c>
      <c r="F1194" t="s">
        <v>19</v>
      </c>
      <c r="G1194" s="8" t="s">
        <v>26</v>
      </c>
      <c r="K1194" s="8" t="s">
        <v>41</v>
      </c>
      <c r="L1194" t="s">
        <v>1131</v>
      </c>
      <c r="O1194">
        <v>0</v>
      </c>
      <c r="P1194">
        <v>0</v>
      </c>
      <c r="Q1194">
        <v>0</v>
      </c>
      <c r="R1194">
        <v>1</v>
      </c>
      <c r="S1194">
        <v>0</v>
      </c>
      <c r="T1194">
        <v>0</v>
      </c>
      <c r="U1194">
        <v>0</v>
      </c>
      <c r="V1194">
        <v>0</v>
      </c>
      <c r="W1194">
        <v>1</v>
      </c>
      <c r="X1194">
        <v>1</v>
      </c>
      <c r="Y1194">
        <v>0</v>
      </c>
      <c r="Z1194" t="s">
        <v>1134</v>
      </c>
      <c r="AA1194" t="s">
        <v>1133</v>
      </c>
      <c r="AB1194" t="s">
        <v>1135</v>
      </c>
      <c r="AC1194" t="s">
        <v>1150</v>
      </c>
      <c r="AD1194" t="s">
        <v>1151</v>
      </c>
      <c r="AF1194" s="21"/>
    </row>
    <row r="1195" spans="1:32">
      <c r="A1195" s="8">
        <v>2022</v>
      </c>
      <c r="B1195" s="8">
        <v>348</v>
      </c>
      <c r="D1195" s="8" t="s">
        <v>18</v>
      </c>
      <c r="F1195" t="s">
        <v>19</v>
      </c>
      <c r="G1195" s="8" t="s">
        <v>35</v>
      </c>
      <c r="K1195" s="8" t="s">
        <v>41</v>
      </c>
      <c r="L1195" t="s">
        <v>1131</v>
      </c>
      <c r="O1195">
        <v>0</v>
      </c>
      <c r="P1195">
        <v>0</v>
      </c>
      <c r="Q1195">
        <v>0</v>
      </c>
      <c r="R1195">
        <v>1</v>
      </c>
      <c r="S1195">
        <v>0</v>
      </c>
      <c r="T1195">
        <v>0</v>
      </c>
      <c r="U1195">
        <v>0</v>
      </c>
      <c r="V1195">
        <v>0</v>
      </c>
      <c r="W1195">
        <v>1</v>
      </c>
      <c r="X1195">
        <v>1</v>
      </c>
      <c r="Y1195">
        <v>0</v>
      </c>
      <c r="Z1195" t="s">
        <v>1134</v>
      </c>
      <c r="AA1195" t="s">
        <v>1133</v>
      </c>
      <c r="AB1195" t="s">
        <v>1135</v>
      </c>
      <c r="AC1195" t="s">
        <v>1150</v>
      </c>
      <c r="AD1195" t="s">
        <v>1151</v>
      </c>
      <c r="AF1195" s="21"/>
    </row>
    <row r="1196" spans="1:32">
      <c r="A1196" s="8">
        <v>2022</v>
      </c>
      <c r="B1196" s="8">
        <v>348</v>
      </c>
      <c r="D1196" s="8" t="s">
        <v>18</v>
      </c>
      <c r="F1196" t="s">
        <v>19</v>
      </c>
      <c r="G1196" s="8" t="s">
        <v>249</v>
      </c>
      <c r="H1196" t="s">
        <v>250</v>
      </c>
      <c r="K1196" s="8" t="s">
        <v>41</v>
      </c>
      <c r="L1196" t="s">
        <v>1131</v>
      </c>
      <c r="O1196">
        <v>0</v>
      </c>
      <c r="P1196">
        <v>0</v>
      </c>
      <c r="Q1196">
        <v>0</v>
      </c>
      <c r="R1196">
        <v>1</v>
      </c>
      <c r="S1196">
        <v>0</v>
      </c>
      <c r="T1196">
        <v>0</v>
      </c>
      <c r="U1196">
        <v>0</v>
      </c>
      <c r="V1196">
        <v>0</v>
      </c>
      <c r="W1196">
        <v>1</v>
      </c>
      <c r="X1196">
        <v>1</v>
      </c>
      <c r="Y1196">
        <v>0</v>
      </c>
      <c r="Z1196" t="s">
        <v>1134</v>
      </c>
      <c r="AA1196" t="s">
        <v>1133</v>
      </c>
      <c r="AB1196" t="s">
        <v>1135</v>
      </c>
      <c r="AC1196" t="s">
        <v>1150</v>
      </c>
      <c r="AD1196" t="s">
        <v>1151</v>
      </c>
      <c r="AF1196" s="21"/>
    </row>
    <row r="1197" spans="1:32">
      <c r="A1197" s="8">
        <v>2022</v>
      </c>
      <c r="B1197" s="8">
        <v>348</v>
      </c>
      <c r="D1197" s="8" t="s">
        <v>18</v>
      </c>
      <c r="F1197" t="s">
        <v>19</v>
      </c>
      <c r="G1197" s="8" t="s">
        <v>203</v>
      </c>
      <c r="H1197" t="s">
        <v>206</v>
      </c>
      <c r="K1197" s="8" t="s">
        <v>41</v>
      </c>
      <c r="L1197" t="s">
        <v>1131</v>
      </c>
      <c r="O1197">
        <v>0</v>
      </c>
      <c r="P1197">
        <v>0</v>
      </c>
      <c r="Q1197">
        <v>0</v>
      </c>
      <c r="R1197">
        <v>1</v>
      </c>
      <c r="S1197">
        <v>0</v>
      </c>
      <c r="T1197">
        <v>0</v>
      </c>
      <c r="U1197">
        <v>0</v>
      </c>
      <c r="V1197">
        <v>0</v>
      </c>
      <c r="W1197">
        <v>1</v>
      </c>
      <c r="X1197">
        <v>1</v>
      </c>
      <c r="Y1197">
        <v>0</v>
      </c>
      <c r="Z1197" t="s">
        <v>1134</v>
      </c>
      <c r="AA1197" t="s">
        <v>1133</v>
      </c>
      <c r="AB1197" t="s">
        <v>1135</v>
      </c>
      <c r="AC1197" t="s">
        <v>1150</v>
      </c>
      <c r="AD1197" t="s">
        <v>1151</v>
      </c>
      <c r="AF1197" s="21"/>
    </row>
    <row r="1198" spans="1:32">
      <c r="A1198" s="8">
        <v>2022</v>
      </c>
      <c r="B1198" s="8">
        <v>348</v>
      </c>
      <c r="D1198" s="8" t="s">
        <v>18</v>
      </c>
      <c r="F1198" t="s">
        <v>19</v>
      </c>
      <c r="G1198" s="8" t="s">
        <v>202</v>
      </c>
      <c r="H1198" t="s">
        <v>205</v>
      </c>
      <c r="K1198" s="8" t="s">
        <v>41</v>
      </c>
      <c r="L1198" t="s">
        <v>1131</v>
      </c>
      <c r="O1198">
        <v>0</v>
      </c>
      <c r="P1198">
        <v>0</v>
      </c>
      <c r="Q1198">
        <v>0</v>
      </c>
      <c r="R1198">
        <v>1</v>
      </c>
      <c r="S1198">
        <v>0</v>
      </c>
      <c r="T1198">
        <v>0</v>
      </c>
      <c r="U1198">
        <v>0</v>
      </c>
      <c r="V1198">
        <v>0</v>
      </c>
      <c r="W1198">
        <v>1</v>
      </c>
      <c r="X1198">
        <v>1</v>
      </c>
      <c r="Y1198">
        <v>0</v>
      </c>
      <c r="Z1198" t="s">
        <v>1134</v>
      </c>
      <c r="AA1198" t="s">
        <v>1133</v>
      </c>
      <c r="AB1198" t="s">
        <v>1135</v>
      </c>
      <c r="AC1198" t="s">
        <v>1150</v>
      </c>
      <c r="AD1198" t="s">
        <v>1151</v>
      </c>
      <c r="AF1198" s="21"/>
    </row>
    <row r="1199" spans="1:32">
      <c r="A1199" s="8">
        <v>2022</v>
      </c>
      <c r="B1199" s="8">
        <v>348</v>
      </c>
      <c r="D1199" s="8" t="s">
        <v>18</v>
      </c>
      <c r="F1199" s="12" t="s">
        <v>19</v>
      </c>
      <c r="G1199" s="8" t="s">
        <v>193</v>
      </c>
      <c r="H1199" t="s">
        <v>185</v>
      </c>
      <c r="K1199" s="8" t="s">
        <v>41</v>
      </c>
      <c r="L1199" t="s">
        <v>1131</v>
      </c>
      <c r="O1199">
        <v>0</v>
      </c>
      <c r="P1199">
        <v>0</v>
      </c>
      <c r="Q1199">
        <v>0</v>
      </c>
      <c r="R1199">
        <v>1</v>
      </c>
      <c r="S1199">
        <v>0</v>
      </c>
      <c r="T1199">
        <v>0</v>
      </c>
      <c r="U1199">
        <v>0</v>
      </c>
      <c r="V1199">
        <v>0</v>
      </c>
      <c r="W1199">
        <v>1</v>
      </c>
      <c r="X1199">
        <v>1</v>
      </c>
      <c r="Y1199">
        <v>0</v>
      </c>
      <c r="Z1199" t="s">
        <v>1134</v>
      </c>
      <c r="AA1199" t="s">
        <v>1133</v>
      </c>
      <c r="AB1199" t="s">
        <v>1135</v>
      </c>
      <c r="AC1199" t="s">
        <v>1150</v>
      </c>
      <c r="AD1199" t="s">
        <v>1151</v>
      </c>
      <c r="AF1199" s="21"/>
    </row>
    <row r="1200" spans="1:32">
      <c r="A1200" s="8">
        <v>2022</v>
      </c>
      <c r="B1200" s="8">
        <v>348</v>
      </c>
      <c r="D1200" s="8" t="s">
        <v>18</v>
      </c>
      <c r="F1200" s="12" t="s">
        <v>19</v>
      </c>
      <c r="G1200" s="8" t="s">
        <v>161</v>
      </c>
      <c r="K1200" s="8" t="s">
        <v>41</v>
      </c>
      <c r="L1200" t="s">
        <v>1131</v>
      </c>
      <c r="O1200">
        <v>0</v>
      </c>
      <c r="P1200">
        <v>0</v>
      </c>
      <c r="Q1200">
        <v>0</v>
      </c>
      <c r="R1200">
        <v>1</v>
      </c>
      <c r="S1200">
        <v>0</v>
      </c>
      <c r="T1200">
        <v>0</v>
      </c>
      <c r="U1200">
        <v>0</v>
      </c>
      <c r="V1200">
        <v>0</v>
      </c>
      <c r="W1200">
        <v>1</v>
      </c>
      <c r="X1200">
        <v>1</v>
      </c>
      <c r="Y1200">
        <v>0</v>
      </c>
      <c r="Z1200" t="s">
        <v>1134</v>
      </c>
      <c r="AA1200" t="s">
        <v>1133</v>
      </c>
      <c r="AB1200" t="s">
        <v>1135</v>
      </c>
      <c r="AC1200" t="s">
        <v>1150</v>
      </c>
      <c r="AD1200" t="s">
        <v>1151</v>
      </c>
      <c r="AF1200" s="21"/>
    </row>
    <row r="1201" spans="1:32">
      <c r="A1201" s="8">
        <v>2022</v>
      </c>
      <c r="B1201" s="8">
        <v>348</v>
      </c>
      <c r="D1201" s="8" t="s">
        <v>18</v>
      </c>
      <c r="F1201" s="12" t="s">
        <v>19</v>
      </c>
      <c r="G1201" s="8" t="s">
        <v>37</v>
      </c>
      <c r="K1201" s="8" t="s">
        <v>41</v>
      </c>
      <c r="L1201" t="s">
        <v>1131</v>
      </c>
      <c r="O1201">
        <v>0</v>
      </c>
      <c r="P1201">
        <v>0</v>
      </c>
      <c r="Q1201">
        <v>0</v>
      </c>
      <c r="R1201">
        <v>1</v>
      </c>
      <c r="S1201">
        <v>0</v>
      </c>
      <c r="T1201">
        <v>0</v>
      </c>
      <c r="U1201">
        <v>0</v>
      </c>
      <c r="V1201">
        <v>0</v>
      </c>
      <c r="W1201">
        <v>1</v>
      </c>
      <c r="X1201">
        <v>1</v>
      </c>
      <c r="Y1201">
        <v>0</v>
      </c>
      <c r="Z1201" t="s">
        <v>1134</v>
      </c>
      <c r="AA1201" t="s">
        <v>1133</v>
      </c>
      <c r="AB1201" t="s">
        <v>1135</v>
      </c>
      <c r="AC1201" t="s">
        <v>1150</v>
      </c>
      <c r="AD1201" t="s">
        <v>1151</v>
      </c>
      <c r="AF1201" s="21"/>
    </row>
    <row r="1202" spans="1:32">
      <c r="A1202" s="8">
        <v>2022</v>
      </c>
      <c r="B1202" s="8">
        <v>348</v>
      </c>
      <c r="D1202" s="8" t="s">
        <v>18</v>
      </c>
      <c r="F1202" s="12" t="s">
        <v>19</v>
      </c>
      <c r="G1202" s="8" t="s">
        <v>386</v>
      </c>
      <c r="K1202" s="8" t="s">
        <v>41</v>
      </c>
      <c r="L1202" t="s">
        <v>1131</v>
      </c>
      <c r="O1202">
        <v>0</v>
      </c>
      <c r="P1202">
        <v>0</v>
      </c>
      <c r="Q1202">
        <v>0</v>
      </c>
      <c r="R1202">
        <v>1</v>
      </c>
      <c r="S1202">
        <v>0</v>
      </c>
      <c r="T1202">
        <v>0</v>
      </c>
      <c r="U1202">
        <v>0</v>
      </c>
      <c r="V1202">
        <v>0</v>
      </c>
      <c r="W1202">
        <v>1</v>
      </c>
      <c r="X1202">
        <v>1</v>
      </c>
      <c r="Y1202">
        <v>0</v>
      </c>
      <c r="Z1202" t="s">
        <v>1134</v>
      </c>
      <c r="AA1202" t="s">
        <v>1133</v>
      </c>
      <c r="AB1202" t="s">
        <v>1135</v>
      </c>
      <c r="AC1202" t="s">
        <v>1150</v>
      </c>
      <c r="AD1202" t="s">
        <v>1151</v>
      </c>
      <c r="AF1202" s="21"/>
    </row>
    <row r="1203" spans="1:32">
      <c r="A1203" s="8">
        <v>2022</v>
      </c>
      <c r="B1203" s="8">
        <v>349</v>
      </c>
      <c r="D1203" s="8" t="s">
        <v>18</v>
      </c>
      <c r="F1203" t="s">
        <v>19</v>
      </c>
      <c r="G1203" s="8" t="s">
        <v>35</v>
      </c>
      <c r="I1203" t="s">
        <v>22</v>
      </c>
      <c r="J1203" t="s">
        <v>24</v>
      </c>
      <c r="K1203" s="8" t="s">
        <v>41</v>
      </c>
      <c r="L1203" t="s">
        <v>35</v>
      </c>
      <c r="M1203" t="s">
        <v>671</v>
      </c>
      <c r="O1203">
        <v>0</v>
      </c>
      <c r="P1203">
        <v>0</v>
      </c>
      <c r="Q1203">
        <v>0</v>
      </c>
      <c r="R1203">
        <v>1</v>
      </c>
      <c r="S1203">
        <v>0</v>
      </c>
      <c r="T1203">
        <v>0</v>
      </c>
      <c r="U1203">
        <v>0</v>
      </c>
      <c r="V1203">
        <v>1</v>
      </c>
      <c r="W1203">
        <v>0</v>
      </c>
      <c r="X1203">
        <v>0</v>
      </c>
      <c r="Y1203">
        <v>0</v>
      </c>
      <c r="AA1203" t="s">
        <v>1136</v>
      </c>
      <c r="AB1203" t="s">
        <v>1137</v>
      </c>
      <c r="AC1203" t="s">
        <v>1138</v>
      </c>
      <c r="AF1203" s="21"/>
    </row>
    <row r="1204" spans="1:32">
      <c r="A1204" s="8">
        <v>2022</v>
      </c>
      <c r="B1204" s="8">
        <v>349</v>
      </c>
      <c r="D1204" s="8" t="s">
        <v>18</v>
      </c>
      <c r="F1204" t="s">
        <v>19</v>
      </c>
      <c r="G1204" s="8" t="s">
        <v>671</v>
      </c>
      <c r="H1204" t="s">
        <v>689</v>
      </c>
      <c r="I1204" t="s">
        <v>22</v>
      </c>
      <c r="J1204" t="s">
        <v>24</v>
      </c>
      <c r="K1204" s="8" t="s">
        <v>41</v>
      </c>
      <c r="L1204" t="s">
        <v>35</v>
      </c>
      <c r="M1204" t="s">
        <v>671</v>
      </c>
      <c r="O1204">
        <v>0</v>
      </c>
      <c r="P1204">
        <v>0</v>
      </c>
      <c r="Q1204">
        <v>0</v>
      </c>
      <c r="R1204">
        <v>1</v>
      </c>
      <c r="S1204">
        <v>0</v>
      </c>
      <c r="T1204">
        <v>0</v>
      </c>
      <c r="U1204">
        <v>0</v>
      </c>
      <c r="V1204">
        <v>1</v>
      </c>
      <c r="W1204">
        <v>0</v>
      </c>
      <c r="X1204">
        <v>0</v>
      </c>
      <c r="Y1204">
        <v>0</v>
      </c>
      <c r="AA1204" t="s">
        <v>1136</v>
      </c>
      <c r="AB1204" t="s">
        <v>1137</v>
      </c>
      <c r="AC1204" t="s">
        <v>1138</v>
      </c>
      <c r="AF1204" s="21"/>
    </row>
    <row r="1205" spans="1:32">
      <c r="A1205" s="8">
        <v>2022</v>
      </c>
      <c r="B1205" s="8">
        <v>349</v>
      </c>
      <c r="D1205" s="8" t="s">
        <v>18</v>
      </c>
      <c r="F1205" t="s">
        <v>19</v>
      </c>
      <c r="G1205" s="8" t="s">
        <v>37</v>
      </c>
      <c r="I1205" t="s">
        <v>22</v>
      </c>
      <c r="J1205" t="s">
        <v>24</v>
      </c>
      <c r="K1205" s="8" t="s">
        <v>41</v>
      </c>
      <c r="L1205" t="s">
        <v>35</v>
      </c>
      <c r="M1205" t="s">
        <v>671</v>
      </c>
      <c r="O1205">
        <v>0</v>
      </c>
      <c r="P1205">
        <v>0</v>
      </c>
      <c r="Q1205">
        <v>0</v>
      </c>
      <c r="R1205">
        <v>1</v>
      </c>
      <c r="S1205">
        <v>0</v>
      </c>
      <c r="T1205">
        <v>0</v>
      </c>
      <c r="U1205">
        <v>0</v>
      </c>
      <c r="V1205">
        <v>0</v>
      </c>
      <c r="W1205">
        <v>0</v>
      </c>
      <c r="X1205">
        <v>0</v>
      </c>
      <c r="Y1205">
        <v>0</v>
      </c>
      <c r="AA1205" t="s">
        <v>1136</v>
      </c>
      <c r="AB1205" t="s">
        <v>1137</v>
      </c>
      <c r="AF1205" s="21"/>
    </row>
    <row r="1206" spans="1:32">
      <c r="A1206" s="8">
        <v>2022</v>
      </c>
      <c r="B1206" s="8">
        <v>349</v>
      </c>
      <c r="D1206" s="8" t="s">
        <v>18</v>
      </c>
      <c r="F1206" t="s">
        <v>19</v>
      </c>
      <c r="G1206" s="8" t="s">
        <v>26</v>
      </c>
      <c r="I1206" t="s">
        <v>22</v>
      </c>
      <c r="J1206" t="s">
        <v>24</v>
      </c>
      <c r="K1206" s="8" t="s">
        <v>41</v>
      </c>
      <c r="L1206" t="s">
        <v>35</v>
      </c>
      <c r="M1206" t="s">
        <v>671</v>
      </c>
      <c r="O1206">
        <v>0</v>
      </c>
      <c r="P1206">
        <v>0</v>
      </c>
      <c r="Q1206">
        <v>0</v>
      </c>
      <c r="R1206">
        <v>1</v>
      </c>
      <c r="S1206">
        <v>0</v>
      </c>
      <c r="T1206">
        <v>0</v>
      </c>
      <c r="U1206">
        <v>0</v>
      </c>
      <c r="V1206">
        <v>0</v>
      </c>
      <c r="W1206">
        <v>0</v>
      </c>
      <c r="X1206">
        <v>0</v>
      </c>
      <c r="Y1206">
        <v>0</v>
      </c>
      <c r="AA1206" t="s">
        <v>1136</v>
      </c>
      <c r="AB1206" t="s">
        <v>1137</v>
      </c>
      <c r="AF1206" s="21"/>
    </row>
    <row r="1207" spans="1:32">
      <c r="A1207" s="8">
        <v>2022</v>
      </c>
      <c r="B1207" s="8">
        <v>350</v>
      </c>
      <c r="D1207" s="8" t="s">
        <v>18</v>
      </c>
      <c r="F1207" t="s">
        <v>19</v>
      </c>
      <c r="G1207" s="8" t="s">
        <v>37</v>
      </c>
      <c r="I1207" t="s">
        <v>22</v>
      </c>
      <c r="J1207" t="s">
        <v>24</v>
      </c>
      <c r="K1207" s="8" t="s">
        <v>41</v>
      </c>
      <c r="L1207" t="s">
        <v>37</v>
      </c>
      <c r="O1207">
        <v>0</v>
      </c>
      <c r="P1207">
        <v>0</v>
      </c>
      <c r="Q1207">
        <v>0</v>
      </c>
      <c r="R1207">
        <v>1</v>
      </c>
      <c r="S1207">
        <v>0</v>
      </c>
      <c r="T1207">
        <v>0</v>
      </c>
      <c r="U1207">
        <v>0</v>
      </c>
      <c r="V1207">
        <v>0</v>
      </c>
      <c r="W1207">
        <v>0</v>
      </c>
      <c r="X1207">
        <v>0</v>
      </c>
      <c r="Y1207">
        <v>0</v>
      </c>
      <c r="AA1207" t="s">
        <v>1139</v>
      </c>
      <c r="AB1207" t="s">
        <v>1140</v>
      </c>
      <c r="AF1207" s="21"/>
    </row>
    <row r="1208" spans="1:32">
      <c r="A1208" s="8">
        <v>2022</v>
      </c>
      <c r="B1208" s="8">
        <v>350</v>
      </c>
      <c r="D1208" s="8" t="s">
        <v>18</v>
      </c>
      <c r="F1208" t="s">
        <v>19</v>
      </c>
      <c r="G1208" s="8" t="s">
        <v>26</v>
      </c>
      <c r="I1208" t="s">
        <v>22</v>
      </c>
      <c r="J1208" t="s">
        <v>24</v>
      </c>
      <c r="K1208" s="8" t="s">
        <v>41</v>
      </c>
      <c r="L1208" t="s">
        <v>37</v>
      </c>
      <c r="O1208">
        <v>0</v>
      </c>
      <c r="P1208">
        <v>0</v>
      </c>
      <c r="Q1208">
        <v>0</v>
      </c>
      <c r="R1208">
        <v>1</v>
      </c>
      <c r="S1208">
        <v>0</v>
      </c>
      <c r="T1208">
        <v>0</v>
      </c>
      <c r="U1208">
        <v>0</v>
      </c>
      <c r="V1208">
        <v>0</v>
      </c>
      <c r="W1208">
        <v>0</v>
      </c>
      <c r="X1208">
        <v>0</v>
      </c>
      <c r="Y1208">
        <v>0</v>
      </c>
      <c r="AA1208" t="s">
        <v>1139</v>
      </c>
      <c r="AB1208" t="s">
        <v>1140</v>
      </c>
      <c r="AF1208" s="21"/>
    </row>
    <row r="1209" spans="1:32">
      <c r="A1209" s="8">
        <v>2022</v>
      </c>
      <c r="B1209" s="8">
        <v>350</v>
      </c>
      <c r="D1209" s="8" t="s">
        <v>18</v>
      </c>
      <c r="F1209" t="s">
        <v>19</v>
      </c>
      <c r="G1209" s="8" t="s">
        <v>35</v>
      </c>
      <c r="I1209" t="s">
        <v>22</v>
      </c>
      <c r="J1209" t="s">
        <v>24</v>
      </c>
      <c r="K1209" s="8" t="s">
        <v>41</v>
      </c>
      <c r="L1209" t="s">
        <v>37</v>
      </c>
      <c r="O1209">
        <v>0</v>
      </c>
      <c r="P1209">
        <v>0</v>
      </c>
      <c r="Q1209">
        <v>0</v>
      </c>
      <c r="R1209">
        <v>1</v>
      </c>
      <c r="S1209">
        <v>0</v>
      </c>
      <c r="T1209">
        <v>0</v>
      </c>
      <c r="U1209">
        <v>0</v>
      </c>
      <c r="V1209">
        <v>0</v>
      </c>
      <c r="W1209">
        <v>0</v>
      </c>
      <c r="X1209">
        <v>0</v>
      </c>
      <c r="Y1209">
        <v>0</v>
      </c>
      <c r="AA1209" t="s">
        <v>1139</v>
      </c>
      <c r="AB1209" t="s">
        <v>1140</v>
      </c>
      <c r="AF1209" s="21"/>
    </row>
    <row r="1210" spans="1:32">
      <c r="A1210" s="8">
        <v>2022</v>
      </c>
      <c r="B1210" s="8">
        <v>351</v>
      </c>
      <c r="D1210" s="8" t="s">
        <v>18</v>
      </c>
      <c r="F1210" t="s">
        <v>19</v>
      </c>
      <c r="G1210" s="8" t="s">
        <v>37</v>
      </c>
      <c r="I1210" t="s">
        <v>18</v>
      </c>
      <c r="J1210" t="s">
        <v>19</v>
      </c>
      <c r="K1210" s="8" t="s">
        <v>41</v>
      </c>
      <c r="L1210" t="s">
        <v>37</v>
      </c>
      <c r="O1210">
        <v>1</v>
      </c>
      <c r="P1210">
        <v>0</v>
      </c>
      <c r="Q1210">
        <v>0</v>
      </c>
      <c r="R1210">
        <v>1</v>
      </c>
      <c r="S1210">
        <v>0</v>
      </c>
      <c r="T1210">
        <v>0</v>
      </c>
      <c r="U1210">
        <v>0</v>
      </c>
      <c r="V1210">
        <v>0</v>
      </c>
      <c r="W1210">
        <v>0</v>
      </c>
      <c r="X1210">
        <v>0</v>
      </c>
      <c r="Y1210">
        <v>0</v>
      </c>
      <c r="AA1210" t="s">
        <v>1141</v>
      </c>
      <c r="AB1210" t="s">
        <v>1142</v>
      </c>
      <c r="AD1210" t="s">
        <v>1143</v>
      </c>
      <c r="AF1210" s="21"/>
    </row>
    <row r="1211" spans="1:32">
      <c r="A1211" s="8">
        <v>2022</v>
      </c>
      <c r="B1211" s="8">
        <v>352</v>
      </c>
      <c r="D1211" s="8" t="s">
        <v>18</v>
      </c>
      <c r="F1211" t="s">
        <v>19</v>
      </c>
      <c r="G1211" s="8" t="s">
        <v>37</v>
      </c>
      <c r="I1211" t="s">
        <v>18</v>
      </c>
      <c r="J1211" t="s">
        <v>19</v>
      </c>
      <c r="K1211" s="8" t="s">
        <v>41</v>
      </c>
      <c r="L1211" t="s">
        <v>37</v>
      </c>
      <c r="O1211">
        <v>1</v>
      </c>
      <c r="P1211">
        <v>0</v>
      </c>
      <c r="Q1211">
        <v>0</v>
      </c>
      <c r="R1211">
        <v>0</v>
      </c>
      <c r="S1211">
        <v>0</v>
      </c>
      <c r="T1211">
        <v>0</v>
      </c>
      <c r="U1211">
        <v>0</v>
      </c>
      <c r="V1211">
        <v>0</v>
      </c>
      <c r="W1211">
        <v>0</v>
      </c>
      <c r="X1211">
        <v>0</v>
      </c>
      <c r="Y1211">
        <v>0</v>
      </c>
      <c r="AA1211" t="s">
        <v>1144</v>
      </c>
      <c r="AB1211" t="s">
        <v>1145</v>
      </c>
      <c r="AD1211" t="s">
        <v>1149</v>
      </c>
      <c r="AF1211" s="21"/>
    </row>
    <row r="1212" spans="1:32">
      <c r="A1212" s="8">
        <v>2022</v>
      </c>
      <c r="B1212" s="8">
        <v>353</v>
      </c>
      <c r="D1212" s="8" t="s">
        <v>18</v>
      </c>
      <c r="F1212" t="s">
        <v>19</v>
      </c>
      <c r="G1212" s="8" t="s">
        <v>37</v>
      </c>
      <c r="K1212" s="8" t="s">
        <v>41</v>
      </c>
      <c r="L1212" t="s">
        <v>26</v>
      </c>
      <c r="O1212">
        <v>0</v>
      </c>
      <c r="P1212">
        <v>0</v>
      </c>
      <c r="Q1212">
        <v>0</v>
      </c>
      <c r="R1212">
        <v>1</v>
      </c>
      <c r="S1212">
        <v>0</v>
      </c>
      <c r="T1212">
        <v>0</v>
      </c>
      <c r="U1212">
        <v>0</v>
      </c>
      <c r="V1212">
        <v>1</v>
      </c>
      <c r="W1212">
        <v>0</v>
      </c>
      <c r="X1212">
        <v>0</v>
      </c>
      <c r="Y1212">
        <v>0</v>
      </c>
      <c r="AA1212" t="s">
        <v>1146</v>
      </c>
      <c r="AB1212" t="s">
        <v>1147</v>
      </c>
      <c r="AC1212" t="s">
        <v>1148</v>
      </c>
      <c r="AF1212" s="21"/>
    </row>
    <row r="1213" spans="1:32">
      <c r="A1213" s="8">
        <v>2022</v>
      </c>
      <c r="B1213" s="8">
        <v>353</v>
      </c>
      <c r="D1213" s="8" t="s">
        <v>18</v>
      </c>
      <c r="F1213" t="s">
        <v>19</v>
      </c>
      <c r="G1213" s="8" t="s">
        <v>35</v>
      </c>
      <c r="K1213" s="8" t="s">
        <v>41</v>
      </c>
      <c r="L1213" t="s">
        <v>26</v>
      </c>
      <c r="O1213">
        <v>0</v>
      </c>
      <c r="P1213">
        <v>0</v>
      </c>
      <c r="Q1213">
        <v>0</v>
      </c>
      <c r="R1213">
        <v>1</v>
      </c>
      <c r="S1213">
        <v>0</v>
      </c>
      <c r="T1213">
        <v>0</v>
      </c>
      <c r="U1213">
        <v>0</v>
      </c>
      <c r="V1213">
        <v>1</v>
      </c>
      <c r="W1213">
        <v>0</v>
      </c>
      <c r="X1213">
        <v>0</v>
      </c>
      <c r="Y1213">
        <v>0</v>
      </c>
      <c r="AA1213" t="s">
        <v>1146</v>
      </c>
      <c r="AB1213" t="s">
        <v>1147</v>
      </c>
      <c r="AC1213" t="s">
        <v>1148</v>
      </c>
      <c r="AF1213" s="21"/>
    </row>
    <row r="1214" spans="1:32">
      <c r="A1214" s="8">
        <v>2022</v>
      </c>
      <c r="B1214" s="8">
        <v>353</v>
      </c>
      <c r="D1214" s="8" t="s">
        <v>18</v>
      </c>
      <c r="F1214" t="s">
        <v>19</v>
      </c>
      <c r="G1214" s="8" t="s">
        <v>26</v>
      </c>
      <c r="K1214" s="8" t="s">
        <v>41</v>
      </c>
      <c r="L1214" t="s">
        <v>26</v>
      </c>
      <c r="O1214">
        <v>0</v>
      </c>
      <c r="P1214">
        <v>0</v>
      </c>
      <c r="Q1214">
        <v>0</v>
      </c>
      <c r="R1214">
        <v>1</v>
      </c>
      <c r="S1214">
        <v>0</v>
      </c>
      <c r="T1214">
        <v>0</v>
      </c>
      <c r="U1214">
        <v>0</v>
      </c>
      <c r="V1214">
        <v>1</v>
      </c>
      <c r="W1214">
        <v>0</v>
      </c>
      <c r="X1214">
        <v>0</v>
      </c>
      <c r="Y1214">
        <v>0</v>
      </c>
      <c r="AA1214" t="s">
        <v>1146</v>
      </c>
      <c r="AB1214" t="s">
        <v>1147</v>
      </c>
      <c r="AC1214" t="s">
        <v>1148</v>
      </c>
      <c r="AF1214" s="21"/>
    </row>
    <row r="1215" spans="1:32">
      <c r="A1215" s="8">
        <v>2022</v>
      </c>
      <c r="B1215" s="8">
        <v>353</v>
      </c>
      <c r="D1215" s="8" t="s">
        <v>18</v>
      </c>
      <c r="F1215" t="s">
        <v>19</v>
      </c>
      <c r="G1215" s="8" t="s">
        <v>1131</v>
      </c>
      <c r="K1215" s="8" t="s">
        <v>41</v>
      </c>
      <c r="L1215" t="s">
        <v>26</v>
      </c>
      <c r="O1215">
        <v>0</v>
      </c>
      <c r="P1215">
        <v>0</v>
      </c>
      <c r="Q1215">
        <v>0</v>
      </c>
      <c r="R1215">
        <v>1</v>
      </c>
      <c r="S1215">
        <v>0</v>
      </c>
      <c r="T1215">
        <v>0</v>
      </c>
      <c r="U1215">
        <v>0</v>
      </c>
      <c r="V1215">
        <v>1</v>
      </c>
      <c r="W1215">
        <v>0</v>
      </c>
      <c r="X1215">
        <v>0</v>
      </c>
      <c r="Y1215">
        <v>0</v>
      </c>
      <c r="AA1215" t="s">
        <v>1146</v>
      </c>
      <c r="AB1215" t="s">
        <v>1147</v>
      </c>
      <c r="AC1215" t="s">
        <v>1148</v>
      </c>
      <c r="AF1215" s="21"/>
    </row>
    <row r="1216" spans="1:32">
      <c r="A1216" s="8">
        <v>2022</v>
      </c>
      <c r="B1216" s="8">
        <v>354</v>
      </c>
      <c r="D1216" s="8" t="s">
        <v>18</v>
      </c>
      <c r="F1216" t="s">
        <v>19</v>
      </c>
      <c r="G1216" s="8" t="s">
        <v>35</v>
      </c>
      <c r="I1216" t="s">
        <v>484</v>
      </c>
      <c r="J1216" t="s">
        <v>486</v>
      </c>
      <c r="K1216" s="8" t="s">
        <v>25</v>
      </c>
      <c r="L1216" t="s">
        <v>35</v>
      </c>
      <c r="O1216">
        <v>0</v>
      </c>
      <c r="P1216">
        <v>0</v>
      </c>
      <c r="Q1216">
        <v>0</v>
      </c>
      <c r="R1216">
        <v>1</v>
      </c>
      <c r="S1216">
        <v>1</v>
      </c>
      <c r="T1216">
        <v>1</v>
      </c>
      <c r="U1216">
        <v>0</v>
      </c>
      <c r="V1216">
        <v>0</v>
      </c>
      <c r="W1216">
        <v>0</v>
      </c>
      <c r="X1216">
        <v>0</v>
      </c>
      <c r="Y1216">
        <v>0</v>
      </c>
      <c r="AA1216" t="s">
        <v>1152</v>
      </c>
      <c r="AB1216" t="s">
        <v>1153</v>
      </c>
      <c r="AF1216" s="21"/>
    </row>
    <row r="1217" spans="1:32">
      <c r="A1217" s="8">
        <v>2022</v>
      </c>
      <c r="B1217" s="8">
        <v>354</v>
      </c>
      <c r="D1217" s="8" t="s">
        <v>18</v>
      </c>
      <c r="F1217" t="s">
        <v>19</v>
      </c>
      <c r="G1217" s="8" t="s">
        <v>152</v>
      </c>
      <c r="H1217" t="s">
        <v>184</v>
      </c>
      <c r="I1217" t="s">
        <v>484</v>
      </c>
      <c r="J1217" t="s">
        <v>486</v>
      </c>
      <c r="K1217" s="8" t="s">
        <v>25</v>
      </c>
      <c r="L1217" t="s">
        <v>35</v>
      </c>
      <c r="O1217">
        <v>0</v>
      </c>
      <c r="P1217">
        <v>0</v>
      </c>
      <c r="Q1217">
        <v>0</v>
      </c>
      <c r="R1217">
        <v>1</v>
      </c>
      <c r="S1217">
        <v>1</v>
      </c>
      <c r="T1217">
        <v>1</v>
      </c>
      <c r="U1217">
        <v>0</v>
      </c>
      <c r="V1217">
        <v>0</v>
      </c>
      <c r="W1217">
        <v>0</v>
      </c>
      <c r="X1217">
        <v>0</v>
      </c>
      <c r="Y1217">
        <v>0</v>
      </c>
      <c r="AA1217" t="s">
        <v>1152</v>
      </c>
      <c r="AB1217" t="s">
        <v>1153</v>
      </c>
      <c r="AF1217" s="21"/>
    </row>
    <row r="1218" spans="1:32">
      <c r="A1218" s="8">
        <v>2022</v>
      </c>
      <c r="B1218" s="8">
        <v>355</v>
      </c>
      <c r="D1218" s="8" t="s">
        <v>18</v>
      </c>
      <c r="F1218" t="s">
        <v>19</v>
      </c>
      <c r="G1218" s="8" t="s">
        <v>37</v>
      </c>
      <c r="I1218" t="s">
        <v>18</v>
      </c>
      <c r="J1218" t="s">
        <v>19</v>
      </c>
      <c r="K1218" s="8" t="s">
        <v>41</v>
      </c>
      <c r="L1218" t="s">
        <v>37</v>
      </c>
      <c r="O1218">
        <v>0</v>
      </c>
      <c r="P1218">
        <v>0</v>
      </c>
      <c r="Q1218">
        <v>1</v>
      </c>
      <c r="R1218">
        <v>0</v>
      </c>
      <c r="S1218">
        <v>0</v>
      </c>
      <c r="T1218">
        <v>1</v>
      </c>
      <c r="U1218">
        <v>0</v>
      </c>
      <c r="V1218">
        <v>0</v>
      </c>
      <c r="W1218">
        <v>0</v>
      </c>
      <c r="X1218">
        <v>0</v>
      </c>
      <c r="Y1218">
        <v>0</v>
      </c>
      <c r="AA1218" t="s">
        <v>1154</v>
      </c>
      <c r="AB1218" t="s">
        <v>1155</v>
      </c>
      <c r="AF1218" s="21"/>
    </row>
    <row r="1219" spans="1:32">
      <c r="A1219" s="8">
        <v>2023</v>
      </c>
      <c r="B1219" s="8">
        <v>356</v>
      </c>
      <c r="D1219" s="8" t="s">
        <v>60</v>
      </c>
      <c r="F1219" t="s">
        <v>61</v>
      </c>
      <c r="G1219" s="8" t="s">
        <v>37</v>
      </c>
      <c r="I1219" t="s">
        <v>60</v>
      </c>
      <c r="J1219" t="s">
        <v>61</v>
      </c>
      <c r="K1219" s="8" t="s">
        <v>41</v>
      </c>
      <c r="L1219" s="12" t="s">
        <v>37</v>
      </c>
      <c r="M1219" s="12" t="s">
        <v>26</v>
      </c>
      <c r="N1219" s="12" t="s">
        <v>35</v>
      </c>
      <c r="O1219">
        <v>1</v>
      </c>
      <c r="P1219">
        <v>0</v>
      </c>
      <c r="Q1219">
        <v>1</v>
      </c>
      <c r="R1219">
        <v>1</v>
      </c>
      <c r="S1219">
        <v>0</v>
      </c>
      <c r="T1219">
        <v>0</v>
      </c>
      <c r="U1219">
        <v>0</v>
      </c>
      <c r="V1219">
        <v>0</v>
      </c>
      <c r="W1219">
        <v>0</v>
      </c>
      <c r="X1219">
        <v>0</v>
      </c>
      <c r="Y1219">
        <v>0</v>
      </c>
      <c r="AA1219" t="s">
        <v>867</v>
      </c>
      <c r="AB1219" t="s">
        <v>868</v>
      </c>
      <c r="AC1219" t="s">
        <v>870</v>
      </c>
      <c r="AD1219" t="s">
        <v>869</v>
      </c>
    </row>
    <row r="1220" spans="1:32">
      <c r="A1220" s="8">
        <v>2023</v>
      </c>
      <c r="B1220" s="8">
        <v>356</v>
      </c>
      <c r="D1220" s="8" t="s">
        <v>60</v>
      </c>
      <c r="F1220" t="s">
        <v>61</v>
      </c>
      <c r="G1220" s="8" t="s">
        <v>35</v>
      </c>
      <c r="I1220" t="s">
        <v>60</v>
      </c>
      <c r="J1220" t="s">
        <v>61</v>
      </c>
      <c r="K1220" s="8" t="s">
        <v>41</v>
      </c>
      <c r="L1220" s="12" t="s">
        <v>37</v>
      </c>
      <c r="M1220" s="12" t="s">
        <v>26</v>
      </c>
      <c r="N1220" s="12" t="s">
        <v>35</v>
      </c>
      <c r="O1220">
        <v>1</v>
      </c>
      <c r="P1220">
        <v>0</v>
      </c>
      <c r="Q1220">
        <v>1</v>
      </c>
      <c r="R1220">
        <v>1</v>
      </c>
      <c r="S1220">
        <v>0</v>
      </c>
      <c r="T1220">
        <v>0</v>
      </c>
      <c r="U1220">
        <v>0</v>
      </c>
      <c r="V1220">
        <v>0</v>
      </c>
      <c r="W1220">
        <v>0</v>
      </c>
      <c r="X1220">
        <v>0</v>
      </c>
      <c r="Y1220">
        <v>0</v>
      </c>
      <c r="AA1220" t="s">
        <v>867</v>
      </c>
      <c r="AB1220" t="s">
        <v>868</v>
      </c>
      <c r="AC1220" t="s">
        <v>870</v>
      </c>
      <c r="AD1220" t="s">
        <v>869</v>
      </c>
    </row>
    <row r="1221" spans="1:32">
      <c r="A1221" s="8">
        <v>2023</v>
      </c>
      <c r="B1221" s="8">
        <v>356</v>
      </c>
      <c r="D1221" s="8" t="s">
        <v>60</v>
      </c>
      <c r="F1221" t="s">
        <v>61</v>
      </c>
      <c r="G1221" s="8" t="s">
        <v>37</v>
      </c>
      <c r="I1221" t="s">
        <v>60</v>
      </c>
      <c r="J1221" t="s">
        <v>61</v>
      </c>
      <c r="K1221" s="8" t="s">
        <v>41</v>
      </c>
      <c r="L1221" s="12" t="s">
        <v>37</v>
      </c>
      <c r="M1221" s="12" t="s">
        <v>26</v>
      </c>
      <c r="N1221" s="12" t="s">
        <v>35</v>
      </c>
      <c r="O1221">
        <v>1</v>
      </c>
      <c r="P1221">
        <v>0</v>
      </c>
      <c r="Q1221">
        <v>1</v>
      </c>
      <c r="R1221">
        <v>1</v>
      </c>
      <c r="S1221">
        <v>0</v>
      </c>
      <c r="T1221">
        <v>0</v>
      </c>
      <c r="U1221">
        <v>0</v>
      </c>
      <c r="V1221">
        <v>0</v>
      </c>
      <c r="W1221">
        <v>0</v>
      </c>
      <c r="X1221">
        <v>0</v>
      </c>
      <c r="Y1221">
        <v>0</v>
      </c>
      <c r="AA1221" t="s">
        <v>867</v>
      </c>
      <c r="AB1221" t="s">
        <v>868</v>
      </c>
      <c r="AC1221" t="s">
        <v>870</v>
      </c>
      <c r="AD1221" t="s">
        <v>869</v>
      </c>
    </row>
    <row r="1222" spans="1:32">
      <c r="A1222" s="8">
        <v>2023</v>
      </c>
      <c r="B1222" s="8">
        <v>357</v>
      </c>
      <c r="D1222" s="8" t="s">
        <v>18</v>
      </c>
      <c r="F1222" t="s">
        <v>19</v>
      </c>
      <c r="G1222" s="8" t="s">
        <v>37</v>
      </c>
      <c r="I1222" t="s">
        <v>18</v>
      </c>
      <c r="J1222" t="s">
        <v>61</v>
      </c>
      <c r="K1222" s="8" t="s">
        <v>41</v>
      </c>
      <c r="L1222" t="s">
        <v>37</v>
      </c>
      <c r="O1222">
        <v>0</v>
      </c>
      <c r="P1222">
        <v>0</v>
      </c>
      <c r="Q1222">
        <v>0</v>
      </c>
      <c r="R1222">
        <v>1</v>
      </c>
      <c r="S1222">
        <v>0</v>
      </c>
      <c r="T1222">
        <v>0</v>
      </c>
      <c r="U1222">
        <v>0</v>
      </c>
      <c r="V1222">
        <v>0</v>
      </c>
      <c r="W1222">
        <v>0</v>
      </c>
      <c r="X1222">
        <v>0</v>
      </c>
      <c r="Y1222">
        <v>0</v>
      </c>
      <c r="AA1222" t="s">
        <v>1156</v>
      </c>
      <c r="AB1222" t="s">
        <v>1157</v>
      </c>
    </row>
  </sheetData>
  <hyperlinks>
    <hyperlink ref="AB45" r:id="rId1"/>
    <hyperlink ref="AD93" r:id="rId2"/>
    <hyperlink ref="AD94" r:id="rId3"/>
    <hyperlink ref="AD95" r:id="rId4"/>
    <hyperlink ref="AD96" r:id="rId5"/>
    <hyperlink ref="AD105" r:id="rId6"/>
    <hyperlink ref="AD122" r:id="rId7"/>
    <hyperlink ref="AD131" r:id="rId8"/>
    <hyperlink ref="AB345" r:id="rId9"/>
    <hyperlink ref="AB346" r:id="rId10"/>
    <hyperlink ref="AB761" r:id="rId11"/>
    <hyperlink ref="AB909" r:id="rId12"/>
    <hyperlink ref="AB1030" r:id="rId13" location=":~:text=On%2017%20May%2C%20the%20Paris,Sudan's%20historic%20transition%20towards%20democracy."/>
    <hyperlink ref="AF1149" r:id="rId14"/>
  </hyperlinks>
  <pageMargins left="0.7" right="0.7" top="0.75" bottom="0.75" header="0.3" footer="0.3"/>
  <pageSetup paperSize="9" orientation="portrait" horizontalDpi="0" verticalDpi="0"/>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88"/>
  <sheetViews>
    <sheetView workbookViewId="0">
      <selection activeCell="F223" sqref="F223"/>
    </sheetView>
  </sheetViews>
  <sheetFormatPr defaultColWidth="10.6640625" defaultRowHeight="15.5"/>
  <sheetData>
    <row r="2" spans="4:17">
      <c r="D2" s="54" t="s">
        <v>1208</v>
      </c>
      <c r="E2" s="54"/>
      <c r="F2" s="54"/>
      <c r="G2" s="53"/>
      <c r="I2" s="44" t="s">
        <v>1207</v>
      </c>
      <c r="J2" s="45"/>
      <c r="K2" s="45"/>
      <c r="L2" s="45"/>
      <c r="M2" s="45"/>
      <c r="N2" s="45"/>
      <c r="O2" s="45"/>
      <c r="P2" s="45"/>
      <c r="Q2" s="45"/>
    </row>
    <row r="3" spans="4:17">
      <c r="D3" s="3" t="s">
        <v>1206</v>
      </c>
      <c r="E3" s="3" t="s">
        <v>65</v>
      </c>
      <c r="F3" s="3" t="s">
        <v>41</v>
      </c>
      <c r="G3" s="3" t="s">
        <v>25</v>
      </c>
      <c r="I3" s="6" t="s">
        <v>1180</v>
      </c>
      <c r="J3" s="6" t="s">
        <v>8</v>
      </c>
      <c r="K3" s="6" t="s">
        <v>9</v>
      </c>
      <c r="L3" s="6" t="s">
        <v>10</v>
      </c>
      <c r="M3" s="6" t="s">
        <v>307</v>
      </c>
      <c r="N3" s="6" t="s">
        <v>11</v>
      </c>
      <c r="O3" s="6" t="s">
        <v>12</v>
      </c>
      <c r="P3" s="6" t="s">
        <v>13</v>
      </c>
      <c r="Q3" s="6" t="s">
        <v>14</v>
      </c>
    </row>
    <row r="4" spans="4:17">
      <c r="D4" s="53" t="s">
        <v>22</v>
      </c>
      <c r="E4" s="53">
        <f>COUNTIFS('Mediation Dataset (Sudans)'!$G$2:$G$1222,"Ethiopia", 'Mediation Dataset (Sudans)'!$K$2:$K$1222,"S")</f>
        <v>2</v>
      </c>
      <c r="F4" s="53">
        <f>COUNTIFS('Mediation Dataset (Sudans)'!$G$2:$G$1222,"Ethiopia", 'Mediation Dataset (Sudans)'!$K$2:$K$1222,"G")</f>
        <v>34</v>
      </c>
      <c r="G4" s="53">
        <f>COUNTIFS('Mediation Dataset (Sudans)'!$G$2:$G$1222,"Ethiopia", 'Mediation Dataset (Sudans)'!$K$2:$K$1222,"G")</f>
        <v>34</v>
      </c>
      <c r="I4" s="45" t="s">
        <v>22</v>
      </c>
      <c r="J4" s="45">
        <f>COUNTIFS('Mediation Dataset (Sudans)'!$G$2:$G$1222,"Ethiopia", 'Mediation Dataset (Sudans)'!$O$2:$O$1222,"=1")</f>
        <v>7</v>
      </c>
      <c r="K4" s="45">
        <f>COUNTIFS('Mediation Dataset (Sudans)'!$G$2:$G$1222,"Ethiopia", 'Mediation Dataset (Sudans)'!$P$2:$P$1222,"=1")</f>
        <v>55</v>
      </c>
      <c r="L4" s="45">
        <f>COUNTIFS('Mediation Dataset (Sudans)'!$G$2:$G$1222,"Ethiopia", 'Mediation Dataset (Sudans)'!$Q$2:$Q$1222,"=1")</f>
        <v>26</v>
      </c>
      <c r="M4" s="45">
        <f>COUNTIFS('Mediation Dataset (Sudans)'!$G$2:$G$1222,"Ethiopia", 'Mediation Dataset (Sudans)'!$R$2:$R$1222,"=1")</f>
        <v>21</v>
      </c>
      <c r="N4" s="45">
        <f>COUNTIFS('Mediation Dataset (Sudans)'!$G$2:$G$1222,"Ethiopia", 'Mediation Dataset (Sudans)'!$S$2:$S$1222,"=1")</f>
        <v>3</v>
      </c>
      <c r="O4" s="45">
        <f>COUNTIFS('Mediation Dataset (Sudans)'!$G$2:$G$1222,"Ethiopia", 'Mediation Dataset (Sudans)'!$T$2:$T$1222,"=1")</f>
        <v>2</v>
      </c>
      <c r="P4" s="45">
        <f>COUNTIFS('Mediation Dataset (Sudans)'!$G$2:$G$1222,"Ethiopia", 'Mediation Dataset (Sudans)'!$U$2:$U$1222,"=1")</f>
        <v>9</v>
      </c>
      <c r="Q4" s="45">
        <f>COUNTIFS('Mediation Dataset (Sudans)'!$G$2:$G$1222,"Ethiopia", 'Mediation Dataset (Sudans)'!$V$2:$V$1222,"=1")</f>
        <v>4</v>
      </c>
    </row>
    <row r="5" spans="4:17">
      <c r="D5" s="55" t="s">
        <v>37</v>
      </c>
      <c r="E5" s="53">
        <f>COUNTIFS('Mediation Dataset (Sudans)'!$G$2:$G$1222,"UN", 'Mediation Dataset (Sudans)'!$K$2:$K$1222,"S")</f>
        <v>4</v>
      </c>
      <c r="F5" s="53">
        <f>COUNTIFS('Mediation Dataset (Sudans)'!$G$2:$G$1222,"UN", 'Mediation Dataset (Sudans)'!$K$2:$K$1222,"G")</f>
        <v>120</v>
      </c>
      <c r="G5" s="53"/>
      <c r="I5" s="46" t="s">
        <v>37</v>
      </c>
      <c r="J5" s="45">
        <f>COUNTIFS('Mediation Dataset (Sudans)'!$G$2:$G$1222,"UN", 'Mediation Dataset (Sudans)'!$O$2:$O$1222,"=1")</f>
        <v>73</v>
      </c>
      <c r="K5" s="45">
        <f>COUNTIFS('Mediation Dataset (Sudans)'!$G$2:$G$1222,"UN", 'Mediation Dataset (Sudans)'!$P$2:$P$1222,"=1")</f>
        <v>31</v>
      </c>
      <c r="L5" s="45">
        <f>COUNTIFS('Mediation Dataset (Sudans)'!$G$2:$G$1222,"UN", 'Mediation Dataset (Sudans)'!$Q$2:$Q$1222,"=1")</f>
        <v>51</v>
      </c>
      <c r="M5" s="45">
        <f>COUNTIFS('Mediation Dataset (Sudans)'!$G$2:$G$1222,"UN", 'Mediation Dataset (Sudans)'!$R$2:$R$1222,"=1")</f>
        <v>33</v>
      </c>
      <c r="N5" s="45">
        <f>COUNTIFS('Mediation Dataset (Sudans)'!$G$2:$G$1222,"UN", 'Mediation Dataset (Sudans)'!$S$2:$S$1222,"=1")</f>
        <v>6</v>
      </c>
      <c r="O5" s="45">
        <f>COUNTIFS('Mediation Dataset (Sudans)'!$G$2:$G$1222,"UN", 'Mediation Dataset (Sudans)'!$T$2:$T$1222,"=1")</f>
        <v>17</v>
      </c>
      <c r="P5" s="45">
        <f>COUNTIFS('Mediation Dataset (Sudans)'!$G$2:$G$1222,"UN", 'Mediation Dataset (Sudans)'!$U$2:$U$1222,"=1")</f>
        <v>18</v>
      </c>
      <c r="Q5" s="45">
        <f>COUNTIFS('Mediation Dataset (Sudans)'!$G$2:$G$1222,"UN", 'Mediation Dataset (Sudans)'!$V$2:$V$1222,"=1")</f>
        <v>38</v>
      </c>
    </row>
    <row r="6" spans="4:17">
      <c r="D6" s="55" t="s">
        <v>193</v>
      </c>
      <c r="E6" s="53">
        <f>COUNTIFS('Mediation Dataset (Sudans)'!$G$2:$G$1222,"United States of America", 'Mediation Dataset (Sudans)'!$K$2:$K$1222,"S")</f>
        <v>3</v>
      </c>
      <c r="F6" s="53">
        <f>COUNTIFS('Mediation Dataset (Sudans)'!$G$2:$G$1222,"United States of America", 'Mediation Dataset (Sudans)'!$K$2:$K$1222,"G")</f>
        <v>57</v>
      </c>
      <c r="G6" s="53"/>
      <c r="I6" s="46" t="s">
        <v>193</v>
      </c>
      <c r="J6" s="45">
        <f>COUNTIFS('Mediation Dataset (Sudans)'!$G$2:$G$1222,"United States of America", 'Mediation Dataset (Sudans)'!$O$2:$O$1222,"=1")</f>
        <v>14</v>
      </c>
      <c r="K6" s="45">
        <f>COUNTIFS('Mediation Dataset (Sudans)'!$G$2:$G$1222,"United States of America", 'Mediation Dataset (Sudans)'!$P$2:$P$1222,"=1")</f>
        <v>34</v>
      </c>
      <c r="L6" s="45">
        <f>COUNTIFS('Mediation Dataset (Sudans)'!$G$2:$G$1222,"United States of America", 'Mediation Dataset (Sudans)'!$Q$2:$Q$1222,"=1")</f>
        <v>3</v>
      </c>
      <c r="M6" s="45">
        <f>COUNTIFS('Mediation Dataset (Sudans)'!$G$2:$G$1222,"United States of America", 'Mediation Dataset (Sudans)'!$R$2:$R$1222,"=1")</f>
        <v>22</v>
      </c>
      <c r="N6" s="45">
        <f>COUNTIFS('Mediation Dataset (Sudans)'!$G$2:$G$1222,"United States of America", 'Mediation Dataset (Sudans)'!$S$2:$S$1222,"=1")</f>
        <v>11</v>
      </c>
      <c r="O6" s="45">
        <f>COUNTIFS('Mediation Dataset (Sudans)'!$G$2:$G$1222,"United States of America", 'Mediation Dataset (Sudans)'!$T$2:$T$1222,"=1")</f>
        <v>4</v>
      </c>
      <c r="P6" s="45">
        <f>COUNTIFS('Mediation Dataset (Sudans)'!$G$2:$G$1222,"United States of America", 'Mediation Dataset (Sudans)'!$U$2:$U$1222,"=1")</f>
        <v>12</v>
      </c>
      <c r="Q6" s="45">
        <f>COUNTIFS('Mediation Dataset (Sudans)'!$G$2:$G$1222,"United States of America", 'Mediation Dataset (Sudans)'!$V$2:$V$1222,"=1")</f>
        <v>9</v>
      </c>
    </row>
    <row r="7" spans="4:17">
      <c r="D7" s="55" t="s">
        <v>182</v>
      </c>
      <c r="E7" s="53">
        <f>COUNTIFS('Mediation Dataset (Sudans)'!$G$2:$G$1222,"OAU", 'Mediation Dataset (Sudans)'!$K$2:$K$1222,"S")</f>
        <v>0</v>
      </c>
      <c r="F7" s="53">
        <f>COUNTIFS('Mediation Dataset (Sudans)'!$G$2:$G$1222,"OAU", 'Mediation Dataset (Sudans)'!$K$2:$K$1222,"G")</f>
        <v>0</v>
      </c>
      <c r="G7" s="53"/>
      <c r="I7" s="46" t="s">
        <v>182</v>
      </c>
      <c r="J7" s="45">
        <f>COUNTIFS('Mediation Dataset (Sudans)'!$G$2:$G$1222,"OAU", 'Mediation Dataset (Sudans)'!$O$2:$O$1222,"=1")</f>
        <v>1</v>
      </c>
      <c r="K7" s="45">
        <f>COUNTIFS('Mediation Dataset (Sudans)'!$G$2:$G$1222,"OAU", 'Mediation Dataset (Sudans)'!$P$2:$P$1222,"=1")</f>
        <v>1</v>
      </c>
      <c r="L7" s="45"/>
      <c r="M7" s="45"/>
      <c r="N7" s="45"/>
      <c r="O7" s="45"/>
      <c r="P7" s="45"/>
      <c r="Q7" s="45"/>
    </row>
    <row r="8" spans="4:17">
      <c r="D8" s="55" t="s">
        <v>151</v>
      </c>
      <c r="E8" s="53">
        <f>COUNTIFS('Mediation Dataset (Sudans)'!$G$2:$G$1222,"Nigeria", 'Mediation Dataset (Sudans)'!$K$2:$K$1222,"S")</f>
        <v>0</v>
      </c>
      <c r="F8" s="53">
        <f>COUNTIFS('Mediation Dataset (Sudans)'!$G$2:$G$1222,"Nigeria", 'Mediation Dataset (Sudans)'!$K$2:$K$1222,"G")</f>
        <v>2</v>
      </c>
      <c r="G8" s="53"/>
      <c r="I8" s="46" t="s">
        <v>151</v>
      </c>
      <c r="J8" s="45">
        <f>COUNTIFS('Mediation Dataset (Sudans)'!$G$2:$G$1222,"Nigeria", 'Mediation Dataset (Sudans)'!$O$2:$O$1222,"=1")</f>
        <v>3</v>
      </c>
      <c r="K8" s="45">
        <f>COUNTIFS('Mediation Dataset (Sudans)'!$G$2:$G$1222,"Nigeria", 'Mediation Dataset (Sudans)'!$P$2:$P$1222,"=1")</f>
        <v>1</v>
      </c>
      <c r="L8" s="45">
        <f>COUNTIFS('Mediation Dataset (Sudans)'!$G$2:$G$1222,"Nigeria", 'Mediation Dataset (Sudans)'!$Q$2:$Q$1222,"=1")</f>
        <v>1</v>
      </c>
      <c r="M8" s="45">
        <f>COUNTIFS('Mediation Dataset (Sudans)'!$G$2:$G$1222,"Nigeria", 'Mediation Dataset (Sudans)'!$R$2:$R$1222,"=1")</f>
        <v>1</v>
      </c>
      <c r="N8" s="45">
        <f>COUNTIFS('Mediation Dataset (Sudans)'!$G$2:$G$1222,"Nigeria", 'Mediation Dataset (Sudans)'!$S$2:$S$1222,"=1")</f>
        <v>0</v>
      </c>
      <c r="O8" s="45">
        <f>COUNTIFS('Mediation Dataset (Sudans)'!$G$2:$G$1222,"Nigeria", 'Mediation Dataset (Sudans)'!$T$2:$T$1222,"=1")</f>
        <v>0</v>
      </c>
      <c r="P8" s="45">
        <f>COUNTIFS('Mediation Dataset (Sudans)'!$G$2:$G$1222,"Nigeria", 'Mediation Dataset (Sudans)'!$U$2:$U$1222,"=1")</f>
        <v>3</v>
      </c>
      <c r="Q8" s="45">
        <f>COUNTIFS('Mediation Dataset (Sudans)'!$G$2:$G$1222,"Nigeria", 'Mediation Dataset (Sudans)'!$V$2:$V$1222,"=1")</f>
        <v>0</v>
      </c>
    </row>
    <row r="9" spans="4:17">
      <c r="D9" s="55" t="s">
        <v>35</v>
      </c>
      <c r="E9" s="53">
        <f>COUNTIFS('Mediation Dataset (Sudans)'!$G$2:$G$1222,"IGAD", 'Mediation Dataset (Sudans)'!$K$2:$K$1222,"S")</f>
        <v>1</v>
      </c>
      <c r="F9" s="53">
        <f>COUNTIFS('Mediation Dataset (Sudans)'!$G$2:$G$1222,"IGAD", 'Mediation Dataset (Sudans)'!$K$2:$K$1222,"G")</f>
        <v>55</v>
      </c>
      <c r="G9" s="53"/>
      <c r="I9" s="46" t="s">
        <v>35</v>
      </c>
      <c r="J9" s="45">
        <f>COUNTIFS('Mediation Dataset (Sudans)'!$G$2:$G$1222,"IGAD", 'Mediation Dataset (Sudans)'!$O$2:$O$1222,"=1")</f>
        <v>28</v>
      </c>
      <c r="K9" s="45">
        <f>COUNTIFS('Mediation Dataset (Sudans)'!$G$2:$G$1222,"IGAD", 'Mediation Dataset (Sudans)'!$P$2:$P$1222,"=1")</f>
        <v>61</v>
      </c>
      <c r="L9" s="45">
        <f>COUNTIFS('Mediation Dataset (Sudans)'!$G$2:$G$1222,"IGAD", 'Mediation Dataset (Sudans)'!$Q$2:$Q$1222,"=1")</f>
        <v>69</v>
      </c>
      <c r="M9" s="45">
        <f>COUNTIFS('Mediation Dataset (Sudans)'!$G$2:$G$1222,"IGAD", 'Mediation Dataset (Sudans)'!$R$2:$R$1222,"=1")</f>
        <v>33</v>
      </c>
      <c r="N9" s="45">
        <f>COUNTIFS('Mediation Dataset (Sudans)'!$G$2:$G$1222,"IGAD", 'Mediation Dataset (Sudans)'!$S$2:$S$1222,"=1")</f>
        <v>4</v>
      </c>
      <c r="O9" s="45">
        <f>COUNTIFS('Mediation Dataset (Sudans)'!$G$2:$G$1222,"IGAD", 'Mediation Dataset (Sudans)'!$T$2:$T$1222,"=1")</f>
        <v>5</v>
      </c>
      <c r="P9" s="45">
        <f>COUNTIFS('Mediation Dataset (Sudans)'!$G$2:$G$1222,"IGAD", 'Mediation Dataset (Sudans)'!$U$2:$U$1222,"=1")</f>
        <v>21</v>
      </c>
      <c r="Q9" s="45">
        <f>COUNTIFS('Mediation Dataset (Sudans)'!$G$2:$G$1222,"IGAD", 'Mediation Dataset (Sudans)'!$V$2:$V$1222,"=1")</f>
        <v>10</v>
      </c>
    </row>
    <row r="10" spans="4:17">
      <c r="D10" s="55" t="s">
        <v>152</v>
      </c>
      <c r="E10" s="53">
        <f>COUNTIFS('Mediation Dataset (Sudans)'!$G$2:$G$1222,"Kenya", 'Mediation Dataset (Sudans)'!$K$2:$K$1222,"S")</f>
        <v>2</v>
      </c>
      <c r="F10" s="53">
        <f>COUNTIFS('Mediation Dataset (Sudans)'!$G$2:$G$1222,"Kenya", 'Mediation Dataset (Sudans)'!$K$2:$K$1222,"G")</f>
        <v>31</v>
      </c>
      <c r="G10" s="53"/>
      <c r="I10" s="46" t="s">
        <v>152</v>
      </c>
      <c r="J10" s="45">
        <f>COUNTIFS('Mediation Dataset (Sudans)'!$G$2:$G$1222,"Kenya", 'Mediation Dataset (Sudans)'!$O$2:$O$1222,"=1")</f>
        <v>10</v>
      </c>
      <c r="K10" s="45">
        <f>COUNTIFS('Mediation Dataset (Sudans)'!$G$2:$G$1222,"Kenya", 'Mediation Dataset (Sudans)'!$P$2:$P$1222,"=1")</f>
        <v>49</v>
      </c>
      <c r="L10" s="45">
        <f>COUNTIFS('Mediation Dataset (Sudans)'!$G$2:$G$1222,"Kenya", 'Mediation Dataset (Sudans)'!$Q$2:$Q$1222,"=1")</f>
        <v>33</v>
      </c>
      <c r="M10" s="45">
        <f>COUNTIFS('Mediation Dataset (Sudans)'!$G$2:$G$1222,"Kenya", 'Mediation Dataset (Sudans)'!$R$2:$R$1222,"=1")</f>
        <v>19</v>
      </c>
      <c r="N10" s="45">
        <f>COUNTIFS('Mediation Dataset (Sudans)'!$G$2:$G$1222,"Kenya", 'Mediation Dataset (Sudans)'!$S$2:$S$1222,"=1")</f>
        <v>3</v>
      </c>
      <c r="O10" s="45">
        <f>COUNTIFS('Mediation Dataset (Sudans)'!$G$2:$G$1222,"Kenya", 'Mediation Dataset (Sudans)'!$T$2:$T$1222,"=1")</f>
        <v>2</v>
      </c>
      <c r="P10" s="45">
        <f>COUNTIFS('Mediation Dataset (Sudans)'!$G$2:$G$1222,"Kenya", 'Mediation Dataset (Sudans)'!$U$2:$U$1222,"=1")</f>
        <v>5</v>
      </c>
      <c r="Q10" s="45">
        <f>COUNTIFS('Mediation Dataset (Sudans)'!$G$2:$G$1222,"Kenya", 'Mediation Dataset (Sudans)'!$V$2:$V$1222,"=1")</f>
        <v>5</v>
      </c>
    </row>
    <row r="11" spans="4:17">
      <c r="D11" s="55" t="s">
        <v>191</v>
      </c>
      <c r="E11" s="53">
        <f>COUNTIFS('Mediation Dataset (Sudans)'!$G$2:$G$1222,"Eritrea", 'Mediation Dataset (Sudans)'!$K$2:$K$1222,"S")</f>
        <v>1</v>
      </c>
      <c r="F11" s="53">
        <f>COUNTIFS('Mediation Dataset (Sudans)'!$G$2:$G$1222,"Eritrea", 'Mediation Dataset (Sudans)'!$K$2:$K$1222,"G")</f>
        <v>27</v>
      </c>
      <c r="G11" s="53"/>
      <c r="I11" s="46" t="s">
        <v>191</v>
      </c>
      <c r="J11" s="45">
        <f>COUNTIFS('Mediation Dataset (Sudans)'!$G$2:$G$1222,"Eritrea", 'Mediation Dataset (Sudans)'!$O$2:$O$1222,"=1")</f>
        <v>6</v>
      </c>
      <c r="K11" s="45">
        <f>COUNTIFS('Mediation Dataset (Sudans)'!$G$2:$G$1222,"Eritrea", 'Mediation Dataset (Sudans)'!$P$2:$P$1222,"=1")</f>
        <v>48</v>
      </c>
      <c r="L11" s="45">
        <f>COUNTIFS('Mediation Dataset (Sudans)'!$G$2:$G$1222,"Eritrea", 'Mediation Dataset (Sudans)'!$Q$2:$Q$1222,"=1")</f>
        <v>1</v>
      </c>
      <c r="M11" s="45">
        <f>COUNTIFS('Mediation Dataset (Sudans)'!$G$2:$G$1222,"Eritrea", 'Mediation Dataset (Sudans)'!$R$2:$R$1222,"=1")</f>
        <v>15</v>
      </c>
      <c r="N11" s="45">
        <f>COUNTIFS('Mediation Dataset (Sudans)'!$G$2:$G$1222,"Eritrea", 'Mediation Dataset (Sudans)'!$S$2:$S$1222,"=1")</f>
        <v>1</v>
      </c>
      <c r="O11" s="45">
        <f>COUNTIFS('Mediation Dataset (Sudans)'!$G$2:$G$1222,"Eritrea", 'Mediation Dataset (Sudans)'!$T$2:$T$1222,"=1")</f>
        <v>1</v>
      </c>
      <c r="P11" s="45">
        <f>COUNTIFS('Mediation Dataset (Sudans)'!$G$2:$G$1222,"Eritrea", 'Mediation Dataset (Sudans)'!$U$2:$U$1222,"=1")</f>
        <v>5</v>
      </c>
      <c r="Q11" s="45">
        <f>COUNTIFS('Mediation Dataset (Sudans)'!$G$2:$G$1222,"Eritrea", 'Mediation Dataset (Sudans)'!$V$2:$V$1222,"=1")</f>
        <v>3</v>
      </c>
    </row>
    <row r="12" spans="4:17">
      <c r="D12" s="55" t="s">
        <v>192</v>
      </c>
      <c r="E12" s="53">
        <f>COUNTIFS('Mediation Dataset (Sudans)'!$G$2:$G$1222,"Uganda", 'Mediation Dataset (Sudans)'!$K$2:$K$1222,"S")</f>
        <v>6</v>
      </c>
      <c r="F12" s="53">
        <f>COUNTIFS('Mediation Dataset (Sudans)'!$G$2:$G$1222,"Uganda", 'Mediation Dataset (Sudans)'!$K$2:$K$1222,"G")</f>
        <v>28</v>
      </c>
      <c r="G12" s="53"/>
      <c r="I12" s="46" t="s">
        <v>192</v>
      </c>
      <c r="J12" s="45">
        <f>COUNTIFS('Mediation Dataset (Sudans)'!$G$2:$G$1222,"Uganda", 'Mediation Dataset (Sudans)'!$O$2:$O$1222,"=1")</f>
        <v>8</v>
      </c>
      <c r="K12" s="45">
        <f>COUNTIFS('Mediation Dataset (Sudans)'!$G$2:$G$1222,"Uganda", 'Mediation Dataset (Sudans)'!$P$2:$P$1222,"=1")</f>
        <v>56</v>
      </c>
      <c r="L12" s="45">
        <f>COUNTIFS('Mediation Dataset (Sudans)'!$G$2:$G$1222,"Uganda", 'Mediation Dataset (Sudans)'!$Q$2:$Q$1222,"=1")</f>
        <v>4</v>
      </c>
      <c r="M12" s="45">
        <f>COUNTIFS('Mediation Dataset (Sudans)'!$G$2:$G$1222,"Uganda", 'Mediation Dataset (Sudans)'!$R$2:$R$1222,"=1")</f>
        <v>16</v>
      </c>
      <c r="N12" s="45">
        <f>COUNTIFS('Mediation Dataset (Sudans)'!$G$2:$G$1222,"Uganda", 'Mediation Dataset (Sudans)'!$S$2:$S$1222,"=1")</f>
        <v>2</v>
      </c>
      <c r="O12" s="45">
        <f>COUNTIFS('Mediation Dataset (Sudans)'!$G$2:$G$1222,"Uganda", 'Mediation Dataset (Sudans)'!$T$2:$T$1222,"=1")</f>
        <v>1</v>
      </c>
      <c r="P12" s="45">
        <f>COUNTIFS('Mediation Dataset (Sudans)'!$G$2:$G$1222,"Uganda", 'Mediation Dataset (Sudans)'!$U$2:$U$1222,"=1")</f>
        <v>8</v>
      </c>
      <c r="Q12" s="45">
        <f>COUNTIFS('Mediation Dataset (Sudans)'!$G$2:$G$1222,"Uganda", 'Mediation Dataset (Sudans)'!$V$2:$V$1222,"=1")</f>
        <v>4</v>
      </c>
    </row>
    <row r="13" spans="4:17">
      <c r="D13" s="55" t="s">
        <v>158</v>
      </c>
      <c r="E13" s="53">
        <f>COUNTIFS('Mediation Dataset (Sudans)'!$G$2:$G$1222,"Carter Center", 'Mediation Dataset (Sudans)'!$K$2:$K$1222,"S")</f>
        <v>0</v>
      </c>
      <c r="F13" s="53">
        <f>COUNTIFS('Mediation Dataset (Sudans)'!$G$2:$G$1222,"Carter Center", 'Mediation Dataset (Sudans)'!$K$2:$K$1222,"G")</f>
        <v>0</v>
      </c>
      <c r="G13" s="53"/>
      <c r="I13" s="46" t="s">
        <v>158</v>
      </c>
      <c r="J13" s="45">
        <f>COUNTIFS('Mediation Dataset (Sudans)'!$G$2:$G$1222,"Carter Center", 'Mediation Dataset (Sudans)'!$O$2:$O$1222,"=1")</f>
        <v>1</v>
      </c>
      <c r="K13" s="45">
        <f>COUNTIFS('Mediation Dataset (Sudans)'!$G$2:$G$1222,"Carter Center", 'Mediation Dataset (Sudans)'!$P$2:$P$1222,"=1")</f>
        <v>0</v>
      </c>
      <c r="L13" s="45"/>
      <c r="M13" s="45"/>
      <c r="N13" s="45"/>
      <c r="O13" s="45"/>
      <c r="P13" s="45"/>
      <c r="Q13" s="45"/>
    </row>
    <row r="14" spans="4:17">
      <c r="D14" s="55" t="s">
        <v>273</v>
      </c>
      <c r="E14" s="53">
        <f>COUNTIFS('Mediation Dataset (Sudans)'!$G$2:$G$1222,"Fashoda Relief", 'Mediation Dataset (Sudans)'!$K$2:$K$1222,"S")</f>
        <v>0</v>
      </c>
      <c r="F14" s="53">
        <f>COUNTIFS('Mediation Dataset (Sudans)'!$G$2:$G$1222,"Fashoda Relief", 'Mediation Dataset (Sudans)'!$K$2:$K$1222,"G")</f>
        <v>0</v>
      </c>
      <c r="G14" s="53"/>
      <c r="I14" s="46" t="s">
        <v>273</v>
      </c>
      <c r="J14" s="45">
        <f>COUNTIFS('Mediation Dataset (Sudans)'!$G$2:$G$1222,"Fashoda Relief", 'Mediation Dataset (Sudans)'!$O$2:$O$1222,"=1")</f>
        <v>0</v>
      </c>
      <c r="K14" s="45">
        <f>COUNTIFS('Mediation Dataset (Sudans)'!$G$2:$G$1222,"Fashoda Relief", 'Mediation Dataset (Sudans)'!$P$2:$P$1222,"=1")</f>
        <v>0</v>
      </c>
      <c r="L14" s="45"/>
      <c r="M14" s="45"/>
      <c r="N14" s="45"/>
      <c r="O14" s="45"/>
      <c r="P14" s="45"/>
      <c r="Q14" s="45"/>
    </row>
    <row r="15" spans="4:17">
      <c r="D15" s="55" t="s">
        <v>281</v>
      </c>
      <c r="E15" s="53">
        <f>COUNTIFS('Mediation Dataset (Sudans)'!$G$2:$G$1222,"NGO consortium", 'Mediation Dataset (Sudans)'!$K$2:$K$1222,"S")</f>
        <v>0</v>
      </c>
      <c r="F15" s="53">
        <f>COUNTIFS('Mediation Dataset (Sudans)'!$G$2:$G$1222,"NGO consortium", 'Mediation Dataset (Sudans)'!$K$2:$K$1222,"G")</f>
        <v>0</v>
      </c>
      <c r="G15" s="53"/>
      <c r="I15" s="46" t="s">
        <v>281</v>
      </c>
      <c r="J15" s="45">
        <f>COUNTIFS('Mediation Dataset (Sudans)'!$G$2:$G$1222,"NGO consortium", 'Mediation Dataset (Sudans)'!$O$2:$O$1222,"=1")</f>
        <v>0</v>
      </c>
      <c r="K15" s="45">
        <f>COUNTIFS('Mediation Dataset (Sudans)'!$G$2:$G$1222,"NGO consortium", 'Mediation Dataset (Sudans)'!$P$2:$P$1222,"=1")</f>
        <v>0</v>
      </c>
      <c r="L15" s="45"/>
      <c r="M15" s="45"/>
      <c r="N15" s="45"/>
      <c r="O15" s="45"/>
      <c r="P15" s="45"/>
      <c r="Q15" s="45"/>
    </row>
    <row r="16" spans="4:17">
      <c r="D16" s="55" t="s">
        <v>196</v>
      </c>
      <c r="E16" s="53">
        <f>COUNTIFS('Mediation Dataset (Sudans)'!$G$2:$G$1222,"South Africa", 'Mediation Dataset (Sudans)'!$K$2:$K$1222,"S")</f>
        <v>0</v>
      </c>
      <c r="F16" s="53">
        <f>COUNTIFS('Mediation Dataset (Sudans)'!$G$2:$G$1222,"South Africa", 'Mediation Dataset (Sudans)'!$K$2:$K$1222,"G")</f>
        <v>4</v>
      </c>
      <c r="G16" s="53"/>
      <c r="I16" s="46" t="s">
        <v>196</v>
      </c>
      <c r="J16" s="45">
        <f>COUNTIFS('Mediation Dataset (Sudans)'!$G$2:$G$1222,"South Africa", 'Mediation Dataset (Sudans)'!$O$2:$O$1222,"=1")</f>
        <v>2</v>
      </c>
      <c r="K16" s="45">
        <f>COUNTIFS('Mediation Dataset (Sudans)'!$G$2:$G$1222,"South Africa", 'Mediation Dataset (Sudans)'!$P$2:$P$1222,"=1")</f>
        <v>2</v>
      </c>
      <c r="L16" s="45"/>
      <c r="M16" s="45"/>
      <c r="N16" s="45"/>
      <c r="O16" s="45"/>
      <c r="P16" s="45"/>
      <c r="Q16" s="45"/>
    </row>
    <row r="17" spans="4:17">
      <c r="D17" s="55" t="s">
        <v>159</v>
      </c>
      <c r="E17" s="53">
        <f>COUNTIFS('Mediation Dataset (Sudans)'!$G$2:$G$1222,"Abel Alier", 'Mediation Dataset (Sudans)'!$K$2:$K$1222,"S")</f>
        <v>0</v>
      </c>
      <c r="F17" s="53">
        <f>COUNTIFS('Mediation Dataset (Sudans)'!$G$2:$G$1222,"Abel Alier", 'Mediation Dataset (Sudans)'!$K$2:$K$1222,"G")</f>
        <v>0</v>
      </c>
      <c r="G17" s="53"/>
      <c r="I17" s="46" t="s">
        <v>159</v>
      </c>
      <c r="J17" s="45">
        <f>COUNTIFS('Mediation Dataset (Sudans)'!$G$2:$G$1222,"Abel Alier", 'Mediation Dataset (Sudans)'!$O$2:$O$1222,"=1")</f>
        <v>0</v>
      </c>
      <c r="K17" s="45">
        <f>COUNTIFS('Mediation Dataset (Sudans)'!$G$2:$G$1222,"Abel Alier", 'Mediation Dataset (Sudans)'!$P$2:$P$1222,"=1")</f>
        <v>1</v>
      </c>
      <c r="L17" s="45"/>
      <c r="M17" s="45"/>
      <c r="N17" s="45"/>
      <c r="O17" s="45"/>
      <c r="P17" s="45"/>
      <c r="Q17" s="45"/>
    </row>
    <row r="18" spans="4:17">
      <c r="D18" s="55" t="s">
        <v>154</v>
      </c>
      <c r="E18" s="53">
        <f>COUNTIFS('Mediation Dataset (Sudans)'!$G$2:$G$1222,"Egypt", 'Mediation Dataset (Sudans)'!$K$2:$K$1222,"S")</f>
        <v>5</v>
      </c>
      <c r="F18" s="53">
        <f>COUNTIFS('Mediation Dataset (Sudans)'!$G$2:$G$1222,"Egypt", 'Mediation Dataset (Sudans)'!$K$2:$K$1222,"G")</f>
        <v>6</v>
      </c>
      <c r="G18" s="53"/>
      <c r="I18" s="46" t="s">
        <v>154</v>
      </c>
      <c r="J18" s="45">
        <f>COUNTIFS('Mediation Dataset (Sudans)'!$G$2:$G$1222,"Egypt", 'Mediation Dataset (Sudans)'!$O$2:$O$1222,"=1")</f>
        <v>3</v>
      </c>
      <c r="K18" s="45">
        <f>COUNTIFS('Mediation Dataset (Sudans)'!$G$2:$G$1222,"Egypt", 'Mediation Dataset (Sudans)'!$P$2:$P$1222,"=1")</f>
        <v>6</v>
      </c>
      <c r="L18" s="45">
        <f>COUNTIFS('Mediation Dataset (Sudans)'!$G$2:$G$1222,"Egypt", 'Mediation Dataset (Sudans)'!$Q$2:$Q$1222,"=1")</f>
        <v>6</v>
      </c>
      <c r="M18" s="45">
        <f>COUNTIFS('Mediation Dataset (Sudans)'!$G$2:$G$1222,"Egypt", 'Mediation Dataset (Sudans)'!$R$2:$R$1222,"=1")</f>
        <v>8</v>
      </c>
      <c r="N18" s="45">
        <f>COUNTIFS('Mediation Dataset (Sudans)'!$G$2:$G$1222,"Egypt", 'Mediation Dataset (Sudans)'!$S$2:$S$1222,"=1")</f>
        <v>1</v>
      </c>
      <c r="O18" s="45">
        <f>COUNTIFS('Mediation Dataset (Sudans)'!$G$2:$G$1222,"Egypt", 'Mediation Dataset (Sudans)'!$T$2:$T$1222,"=1")</f>
        <v>1</v>
      </c>
      <c r="P18" s="45">
        <f>COUNTIFS('Mediation Dataset (Sudans)'!$G$2:$G$1222,"Egypt", 'Mediation Dataset (Sudans)'!$U$2:$U$1222,"=1")</f>
        <v>5</v>
      </c>
      <c r="Q18" s="45">
        <f>COUNTIFS('Mediation Dataset (Sudans)'!$G$2:$G$1222,"Egypt", 'Mediation Dataset (Sudans)'!$V$2:$V$1222,"=1")</f>
        <v>2</v>
      </c>
    </row>
    <row r="19" spans="4:17">
      <c r="D19" s="55" t="s">
        <v>283</v>
      </c>
      <c r="E19" s="53">
        <f>COUNTIFS('Mediation Dataset (Sudans)'!$G$2:$G$1222,"Libya", 'Mediation Dataset (Sudans)'!$K$2:$K$1222,"S")</f>
        <v>0</v>
      </c>
      <c r="F19" s="53">
        <f>COUNTIFS('Mediation Dataset (Sudans)'!$G$2:$G$1222,"Libya", 'Mediation Dataset (Sudans)'!$K$2:$K$1222,"G")</f>
        <v>0</v>
      </c>
      <c r="G19" s="53"/>
      <c r="I19" s="46" t="s">
        <v>283</v>
      </c>
      <c r="J19" s="45">
        <f>COUNTIFS('Mediation Dataset (Sudans)'!$G$2:$G$1222,"Libya", 'Mediation Dataset (Sudans)'!$O$2:$O$1222,"=1")</f>
        <v>0</v>
      </c>
      <c r="K19" s="45">
        <f>COUNTIFS('Mediation Dataset (Sudans)'!$G$2:$G$1222,"Libya", 'Mediation Dataset (Sudans)'!$P$2:$P$1222,"=1")</f>
        <v>0</v>
      </c>
      <c r="L19" s="45">
        <f>COUNTIFS('Mediation Dataset (Sudans)'!$G$2:$G$1222,"Libya", 'Mediation Dataset (Sudans)'!$Q$2:$Q$1222,"=1")</f>
        <v>0</v>
      </c>
      <c r="M19" s="45">
        <f>COUNTIFS('Mediation Dataset (Sudans)'!$G$2:$G$1222,"Libya", 'Mediation Dataset (Sudans)'!$R$2:$R$1222,"=1")</f>
        <v>1</v>
      </c>
      <c r="N19" s="45">
        <f>COUNTIFS('Mediation Dataset (Sudans)'!$G$2:$G$1222,"Libya", 'Mediation Dataset (Sudans)'!$S$2:$S$1222,"=1")</f>
        <v>0</v>
      </c>
      <c r="O19" s="45">
        <f>COUNTIFS('Mediation Dataset (Sudans)'!$G$2:$G$1222,"Libya", 'Mediation Dataset (Sudans)'!$T$2:$T$1222,"=1")</f>
        <v>0</v>
      </c>
      <c r="P19" s="45">
        <f>COUNTIFS('Mediation Dataset (Sudans)'!$G$2:$G$1222,"Libya", 'Mediation Dataset (Sudans)'!$U$2:$U$1222,"=1")</f>
        <v>0</v>
      </c>
      <c r="Q19" s="45">
        <f>COUNTIFS('Mediation Dataset (Sudans)'!$G$2:$G$1222,"Libya", 'Mediation Dataset (Sudans)'!$V$2:$V$1222,"=1")</f>
        <v>0</v>
      </c>
    </row>
    <row r="20" spans="4:17">
      <c r="D20" s="55" t="s">
        <v>153</v>
      </c>
      <c r="E20" s="53">
        <f>COUNTIFS('Mediation Dataset (Sudans)'!$G$2:$G$1222,"Switzerland", 'Mediation Dataset (Sudans)'!$K$2:$K$1222,"S")</f>
        <v>0</v>
      </c>
      <c r="F20" s="53">
        <f>COUNTIFS('Mediation Dataset (Sudans)'!$G$2:$G$1222,"Switzerland", 'Mediation Dataset (Sudans)'!$K$2:$K$1222,"G")</f>
        <v>4</v>
      </c>
      <c r="G20" s="53"/>
      <c r="I20" s="46" t="s">
        <v>153</v>
      </c>
      <c r="J20" s="45">
        <f>COUNTIFS('Mediation Dataset (Sudans)'!$G$2:$G$1222,"Switzerland", 'Mediation Dataset (Sudans)'!$O$2:$O$1222,"=1")</f>
        <v>2</v>
      </c>
      <c r="K20" s="45">
        <f>COUNTIFS('Mediation Dataset (Sudans)'!$G$2:$G$1222,"Switzerland", 'Mediation Dataset (Sudans)'!$P$2:$P$1222,"=1")</f>
        <v>3</v>
      </c>
      <c r="L20" s="45"/>
      <c r="M20" s="45"/>
      <c r="N20" s="45"/>
      <c r="O20" s="45"/>
      <c r="P20" s="45"/>
      <c r="Q20" s="45"/>
    </row>
    <row r="21" spans="4:17">
      <c r="D21" s="55" t="s">
        <v>202</v>
      </c>
      <c r="E21" s="53">
        <f>COUNTIFS('Mediation Dataset (Sudans)'!$G$2:$G$1222,"United Kingdom", 'Mediation Dataset (Sudans)'!$K$2:$K$1222,"S")</f>
        <v>0</v>
      </c>
      <c r="F21" s="53">
        <f>COUNTIFS('Mediation Dataset (Sudans)'!$G$2:$G$1222,"United Kingdom", 'Mediation Dataset (Sudans)'!$K$2:$K$1222,"G")</f>
        <v>52</v>
      </c>
      <c r="G21" s="53"/>
      <c r="I21" s="46" t="s">
        <v>202</v>
      </c>
      <c r="J21" s="45">
        <f>COUNTIFS('Mediation Dataset (Sudans)'!$G$2:$G$1222,"United Kingdom", 'Mediation Dataset (Sudans)'!$O$2:$O$1222,"=1")</f>
        <v>9</v>
      </c>
      <c r="K21" s="45">
        <f>COUNTIFS('Mediation Dataset (Sudans)'!$G$2:$G$1222,"United Kingdom", 'Mediation Dataset (Sudans)'!$P$2:$P$1222,"=1")</f>
        <v>27</v>
      </c>
      <c r="L21" s="45">
        <f>COUNTIFS('Mediation Dataset (Sudans)'!$G$2:$G$1222,"United Kingdom", 'Mediation Dataset (Sudans)'!$Q$2:$Q$1222,"=1")</f>
        <v>0</v>
      </c>
      <c r="M21" s="45">
        <f>COUNTIFS('Mediation Dataset (Sudans)'!$G$2:$G$1222,"United Kingdom", 'Mediation Dataset (Sudans)'!$R$2:$R$1222,"=1")</f>
        <v>18</v>
      </c>
      <c r="N21" s="45">
        <f>COUNTIFS('Mediation Dataset (Sudans)'!$G$2:$G$1222,"United Kingdom", 'Mediation Dataset (Sudans)'!$S$2:$S$1222,"=1")</f>
        <v>8</v>
      </c>
      <c r="O21" s="45">
        <f>COUNTIFS('Mediation Dataset (Sudans)'!$G$2:$G$1222,"United Kingdom", 'Mediation Dataset (Sudans)'!$T$2:$T$1222,"=1")</f>
        <v>3</v>
      </c>
      <c r="P21" s="45">
        <f>COUNTIFS('Mediation Dataset (Sudans)'!$G$2:$G$1222,"United Kingdom", 'Mediation Dataset (Sudans)'!$U$2:$U$1222,"=1")</f>
        <v>11</v>
      </c>
      <c r="Q21" s="45">
        <f>COUNTIFS('Mediation Dataset (Sudans)'!$G$2:$G$1222,"United Kingdom", 'Mediation Dataset (Sudans)'!$V$2:$V$1222,"=1")</f>
        <v>7</v>
      </c>
    </row>
    <row r="22" spans="4:17">
      <c r="D22" s="55" t="s">
        <v>203</v>
      </c>
      <c r="E22" s="53">
        <f>COUNTIFS('Mediation Dataset (Sudans)'!$G$2:$G$1222,"Norway", 'Mediation Dataset (Sudans)'!$K$2:$K$1222,"S")</f>
        <v>0</v>
      </c>
      <c r="F22" s="53">
        <f>COUNTIFS('Mediation Dataset (Sudans)'!$G$2:$G$1222,"Norway", 'Mediation Dataset (Sudans)'!$K$2:$K$1222,"G")</f>
        <v>51</v>
      </c>
      <c r="G22" s="53"/>
      <c r="I22" s="46" t="s">
        <v>203</v>
      </c>
      <c r="J22" s="45">
        <f>COUNTIFS('Mediation Dataset (Sudans)'!$G$2:$G$1222,"Norway", 'Mediation Dataset (Sudans)'!$O$2:$O$1222,"=1")</f>
        <v>8</v>
      </c>
      <c r="K22" s="45">
        <f>COUNTIFS('Mediation Dataset (Sudans)'!$G$2:$G$1222,"Norway", 'Mediation Dataset (Sudans)'!$P$2:$P$1222,"=1")</f>
        <v>25</v>
      </c>
      <c r="L22" s="45"/>
      <c r="M22" s="45"/>
      <c r="N22" s="45"/>
      <c r="O22" s="45"/>
      <c r="P22" s="45"/>
      <c r="Q22" s="45"/>
    </row>
    <row r="23" spans="4:17">
      <c r="D23" s="55" t="s">
        <v>204</v>
      </c>
      <c r="E23" s="53">
        <f>COUNTIFS('Mediation Dataset (Sudans)'!$G$2:$G$1222,"Italy", 'Mediation Dataset (Sudans)'!$K$2:$K$1222,"S")</f>
        <v>0</v>
      </c>
      <c r="F23" s="53">
        <f>COUNTIFS('Mediation Dataset (Sudans)'!$G$2:$G$1222,"Italy", 'Mediation Dataset (Sudans)'!$K$2:$K$1222,"G")</f>
        <v>27</v>
      </c>
      <c r="G23" s="53"/>
      <c r="I23" s="46" t="s">
        <v>204</v>
      </c>
      <c r="J23" s="45">
        <f>COUNTIFS('Mediation Dataset (Sudans)'!$G$2:$G$1222,"Italy", 'Mediation Dataset (Sudans)'!$O$2:$O$1222,"=1")</f>
        <v>1</v>
      </c>
      <c r="K23" s="45">
        <f>COUNTIFS('Mediation Dataset (Sudans)'!$G$2:$G$1222,"Italy", 'Mediation Dataset (Sudans)'!$P$2:$P$1222,"=1")</f>
        <v>22</v>
      </c>
      <c r="L23" s="45"/>
      <c r="M23" s="45"/>
      <c r="N23" s="45"/>
      <c r="O23" s="45"/>
      <c r="P23" s="6"/>
      <c r="Q23" s="45"/>
    </row>
    <row r="24" spans="4:17">
      <c r="D24" s="55" t="s">
        <v>298</v>
      </c>
      <c r="E24" s="53">
        <f>COUNTIFS('Mediation Dataset (Sudans)'!$G$2:$G$1222,"Arab League", 'Mediation Dataset (Sudans)'!$K$2:$K$1222,"S")</f>
        <v>0</v>
      </c>
      <c r="F24" s="53">
        <f>COUNTIFS('Mediation Dataset (Sudans)'!$G$2:$G$1222,"Arab League", 'Mediation Dataset (Sudans)'!$K$2:$K$1222,"G")</f>
        <v>7</v>
      </c>
      <c r="G24" s="53"/>
      <c r="I24" s="46" t="s">
        <v>298</v>
      </c>
      <c r="J24" s="45">
        <f>COUNTIFS('Mediation Dataset (Sudans)'!$G$2:$G$1222,"Arab League", 'Mediation Dataset (Sudans)'!$O$2:$O$1222,"=1")</f>
        <v>0</v>
      </c>
      <c r="K24" s="45">
        <f>COUNTIFS('Mediation Dataset (Sudans)'!$G$2:$G$1222,"Arab League", 'Mediation Dataset (Sudans)'!$P$2:$P$1222,"=1")</f>
        <v>0</v>
      </c>
      <c r="L24" s="45">
        <f>COUNTIFS('Mediation Dataset (Sudans)'!$G$2:$G$1222,"Arab League", 'Mediation Dataset (Sudans)'!$Q$2:$Q$1222,"=1")</f>
        <v>0</v>
      </c>
      <c r="M24" s="45">
        <f>COUNTIFS('Mediation Dataset (Sudans)'!$G$2:$G$1222,"Arab League", 'Mediation Dataset (Sudans)'!$R$2:$R$1222,"=1")</f>
        <v>5</v>
      </c>
      <c r="N24" s="45">
        <f>COUNTIFS('Mediation Dataset (Sudans)'!$G$2:$G$1222,"Arab League", 'Mediation Dataset (Sudans)'!$S$2:$S$1222,"=1")</f>
        <v>0</v>
      </c>
      <c r="O24" s="45">
        <f>COUNTIFS('Mediation Dataset (Sudans)'!$G$2:$G$1222,"Arab League", 'Mediation Dataset (Sudans)'!$T$2:$T$1222,"=1")</f>
        <v>1</v>
      </c>
      <c r="P24" s="45">
        <f>COUNTIFS('Mediation Dataset (Sudans)'!$G$2:$G$1222,"Arab League", 'Mediation Dataset (Sudans)'!$U$2:$U$1222,"=1")</f>
        <v>4</v>
      </c>
      <c r="Q24" s="45">
        <f>COUNTIFS('Mediation Dataset (Sudans)'!$G$2:$G$1222,"Arab League", 'Mediation Dataset (Sudans)'!$V$2:$V$1222,"=1")</f>
        <v>0</v>
      </c>
    </row>
    <row r="25" spans="4:17">
      <c r="D25" s="55" t="s">
        <v>162</v>
      </c>
      <c r="E25" s="53">
        <f>COUNTIFS('Mediation Dataset (Sudans)'!$G$2:$G$1222,"Darfur Security Committee", 'Mediation Dataset (Sudans)'!$K$2:$K$1222,"S")</f>
        <v>0</v>
      </c>
      <c r="F25" s="53">
        <f>COUNTIFS('Mediation Dataset (Sudans)'!$G$2:$G$1222,"Darfur Security Committee", 'Mediation Dataset (Sudans)'!$K$2:$K$1222,"G")</f>
        <v>0</v>
      </c>
      <c r="G25" s="53"/>
      <c r="I25" s="46" t="s">
        <v>162</v>
      </c>
      <c r="J25" s="45">
        <f>COUNTIFS('Mediation Dataset (Sudans)'!$G$2:$G$1222,"Darfur Security Committee", 'Mediation Dataset (Sudans)'!$O$2:$O$1222,"=1")</f>
        <v>0</v>
      </c>
      <c r="K25" s="45">
        <f>COUNTIFS('Mediation Dataset (Sudans)'!$G$2:$G$1222,"Darfur Security Committee", 'Mediation Dataset (Sudans)'!$P$2:$P$1222,"=1")</f>
        <v>1</v>
      </c>
      <c r="L25" s="45"/>
      <c r="M25" s="45"/>
      <c r="N25" s="45"/>
      <c r="O25" s="45"/>
      <c r="P25" s="45"/>
      <c r="Q25" s="45"/>
    </row>
    <row r="26" spans="4:17">
      <c r="D26" s="55" t="s">
        <v>156</v>
      </c>
      <c r="E26" s="53">
        <f>COUNTIFS('Mediation Dataset (Sudans)'!$G$2:$G$1222,"Chad", 'Mediation Dataset (Sudans)'!$K$2:$K$1222,"S")</f>
        <v>11</v>
      </c>
      <c r="F26" s="53">
        <f>COUNTIFS('Mediation Dataset (Sudans)'!$G$2:$G$1222,"Chad", 'Mediation Dataset (Sudans)'!$K$2:$K$1222,"G")</f>
        <v>4</v>
      </c>
      <c r="G26" s="53"/>
      <c r="I26" s="46" t="s">
        <v>156</v>
      </c>
      <c r="J26" s="45">
        <f>COUNTIFS('Mediation Dataset (Sudans)'!$G$2:$G$1222,"Chad", 'Mediation Dataset (Sudans)'!$O$2:$O$1222,"=1")</f>
        <v>4</v>
      </c>
      <c r="K26" s="45">
        <f>COUNTIFS('Mediation Dataset (Sudans)'!$G$2:$G$1222,"Chad", 'Mediation Dataset (Sudans)'!$P$2:$P$1222,"=1")</f>
        <v>11</v>
      </c>
      <c r="L26" s="45">
        <f>COUNTIFS('Mediation Dataset (Sudans)'!$G$2:$G$1222,"Chad", 'Mediation Dataset (Sudans)'!$Q$2:$Q$1222,"=1")</f>
        <v>11</v>
      </c>
      <c r="M26" s="45">
        <f>COUNTIFS('Mediation Dataset (Sudans)'!$G$2:$G$1222,"Chad", 'Mediation Dataset (Sudans)'!$R$2:$R$1222,"=1")</f>
        <v>4</v>
      </c>
      <c r="N26" s="45">
        <f>COUNTIFS('Mediation Dataset (Sudans)'!$G$2:$G$1222,"Chad", 'Mediation Dataset (Sudans)'!$S$2:$S$1222,"=1")</f>
        <v>0</v>
      </c>
      <c r="O26" s="45">
        <f>COUNTIFS('Mediation Dataset (Sudans)'!$G$2:$G$1222,"Chad", 'Mediation Dataset (Sudans)'!$T$2:$T$1222,"=1")</f>
        <v>2</v>
      </c>
      <c r="P26" s="45">
        <f>COUNTIFS('Mediation Dataset (Sudans)'!$G$2:$G$1222,"Chad", 'Mediation Dataset (Sudans)'!$U$2:$U$1222,"=1")</f>
        <v>5</v>
      </c>
      <c r="Q26" s="45">
        <f>COUNTIFS('Mediation Dataset (Sudans)'!$G$2:$G$1222,"Chad", 'Mediation Dataset (Sudans)'!$V$2:$V$1222,"=1")</f>
        <v>1</v>
      </c>
    </row>
    <row r="27" spans="4:17">
      <c r="D27" s="55" t="s">
        <v>155</v>
      </c>
      <c r="E27" s="53">
        <f>COUNTIFS('Mediation Dataset (Sudans)'!$G$2:$G$1222,"Saudi Arabia", 'Mediation Dataset (Sudans)'!$K$2:$K$1222,"S")</f>
        <v>1</v>
      </c>
      <c r="F27" s="53">
        <f>COUNTIFS('Mediation Dataset (Sudans)'!$G$2:$G$1222,"Saudi Arabia", 'Mediation Dataset (Sudans)'!$K$2:$K$1222,"G")</f>
        <v>8</v>
      </c>
      <c r="G27" s="53"/>
      <c r="I27" s="46" t="s">
        <v>155</v>
      </c>
      <c r="J27" s="45">
        <f>COUNTIFS('Mediation Dataset (Sudans)'!$G$2:$G$1222,"Saudi Arabia", 'Mediation Dataset (Sudans)'!$O$2:$O$1222,"=1")</f>
        <v>2</v>
      </c>
      <c r="K27" s="45">
        <f>COUNTIFS('Mediation Dataset (Sudans)'!$G$2:$G$1222,"Saudi Arabia", 'Mediation Dataset (Sudans)'!$P$2:$P$1222,"=1")</f>
        <v>2</v>
      </c>
      <c r="L27" s="45">
        <f>COUNTIFS('Mediation Dataset (Sudans)'!$G$2:$G$1222,"Saudi Arabia", 'Mediation Dataset (Sudans)'!$Q$2:$Q$1222,"=1")</f>
        <v>1</v>
      </c>
      <c r="M27" s="45">
        <f>COUNTIFS('Mediation Dataset (Sudans)'!$G$2:$G$1222,"Saudi Arabia", 'Mediation Dataset (Sudans)'!$R$2:$R$1222,"=1")</f>
        <v>6</v>
      </c>
      <c r="N27" s="45">
        <f>COUNTIFS('Mediation Dataset (Sudans)'!$G$2:$G$1222,"Saudi Arabia", 'Mediation Dataset (Sudans)'!$S$2:$S$1222,"=1")</f>
        <v>2</v>
      </c>
      <c r="O27" s="45">
        <f>COUNTIFS('Mediation Dataset (Sudans)'!$G$2:$G$1222,"Saudi Arabia", 'Mediation Dataset (Sudans)'!$T$2:$T$1222,"=1")</f>
        <v>2</v>
      </c>
      <c r="P27" s="45">
        <f>COUNTIFS('Mediation Dataset (Sudans)'!$G$2:$G$1222,"Saudi Arabia", 'Mediation Dataset (Sudans)'!$U$2:$U$1222,"=1")</f>
        <v>2</v>
      </c>
      <c r="Q27" s="45">
        <f>COUNTIFS('Mediation Dataset (Sudans)'!$G$2:$G$1222,"Saudi Arabia", 'Mediation Dataset (Sudans)'!$V$2:$V$1222,"=1")</f>
        <v>5</v>
      </c>
    </row>
    <row r="28" spans="4:17">
      <c r="D28" s="55" t="s">
        <v>26</v>
      </c>
      <c r="E28" s="53">
        <f>COUNTIFS('Mediation Dataset (Sudans)'!$G$2:$G$1222,"AU", 'Mediation Dataset (Sudans)'!$K$2:$K$1222,"S")</f>
        <v>2</v>
      </c>
      <c r="F28" s="53">
        <f>COUNTIFS('Mediation Dataset (Sudans)'!$G$2:$G$1222,"AU", 'Mediation Dataset (Sudans)'!$K$2:$K$1222,"G")</f>
        <v>32</v>
      </c>
      <c r="G28" s="53"/>
      <c r="I28" s="46" t="s">
        <v>26</v>
      </c>
      <c r="J28" s="45">
        <f>COUNTIFS('Mediation Dataset (Sudans)'!$G$2:$G$1222,"AU", 'Mediation Dataset (Sudans)'!$O$2:$O$1222,"=1")</f>
        <v>23</v>
      </c>
      <c r="K28" s="45">
        <f>COUNTIFS('Mediation Dataset (Sudans)'!$G$2:$G$1222,"AU", 'Mediation Dataset (Sudans)'!$P$2:$P$1222,"=1")</f>
        <v>51</v>
      </c>
      <c r="L28" s="45">
        <f>COUNTIFS('Mediation Dataset (Sudans)'!$G$2:$G$1222,"AU", 'Mediation Dataset (Sudans)'!$Q$2:$Q$1222,"=1")</f>
        <v>38</v>
      </c>
      <c r="M28" s="45">
        <f>COUNTIFS('Mediation Dataset (Sudans)'!$G$2:$G$1222,"AU", 'Mediation Dataset (Sudans)'!$R$2:$R$1222,"=1")</f>
        <v>21</v>
      </c>
      <c r="N28" s="45">
        <f>COUNTIFS('Mediation Dataset (Sudans)'!$G$2:$G$1222,"AU", 'Mediation Dataset (Sudans)'!$S$2:$S$1222,"=1")</f>
        <v>2</v>
      </c>
      <c r="O28" s="45">
        <f>COUNTIFS('Mediation Dataset (Sudans)'!$G$2:$G$1222,"AU", 'Mediation Dataset (Sudans)'!$T$2:$T$1222,"=1")</f>
        <v>5</v>
      </c>
      <c r="P28" s="45">
        <f>COUNTIFS('Mediation Dataset (Sudans)'!$G$2:$G$1222,"AU", 'Mediation Dataset (Sudans)'!$U$2:$U$1222,"=1")</f>
        <v>19</v>
      </c>
      <c r="Q28" s="45">
        <f>COUNTIFS('Mediation Dataset (Sudans)'!$G$2:$G$1222,"AU", 'Mediation Dataset (Sudans)'!$V$2:$V$1222,"=1")</f>
        <v>15</v>
      </c>
    </row>
    <row r="29" spans="4:17">
      <c r="D29" s="55" t="s">
        <v>161</v>
      </c>
      <c r="E29" s="53">
        <f>COUNTIFS('Mediation Dataset (Sudans)'!$G$2:$G$1222,"EU", 'Mediation Dataset (Sudans)'!$K$2:$K$1222,"S")</f>
        <v>1</v>
      </c>
      <c r="F29" s="53">
        <f>COUNTIFS('Mediation Dataset (Sudans)'!$G$2:$G$1222,"EU", 'Mediation Dataset (Sudans)'!$K$2:$K$1222,"G")</f>
        <v>23</v>
      </c>
      <c r="G29" s="53"/>
      <c r="I29" s="46" t="s">
        <v>161</v>
      </c>
      <c r="J29" s="45">
        <f>COUNTIFS('Mediation Dataset (Sudans)'!$G$2:$G$1222,"EU", 'Mediation Dataset (Sudans)'!$O$2:$O$1222,"=1")</f>
        <v>6</v>
      </c>
      <c r="K29" s="45">
        <f>COUNTIFS('Mediation Dataset (Sudans)'!$G$2:$G$1222,"EU", 'Mediation Dataset (Sudans)'!$P$2:$P$1222,"=1")</f>
        <v>7</v>
      </c>
      <c r="L29" s="45">
        <f>COUNTIFS('Mediation Dataset (Sudans)'!$G$2:$G$1222,"EU", 'Mediation Dataset (Sudans)'!$Q$2:$Q$1222,"=1")</f>
        <v>0</v>
      </c>
      <c r="M29" s="45">
        <f>COUNTIFS('Mediation Dataset (Sudans)'!$G$2:$G$1222,"EU", 'Mediation Dataset (Sudans)'!$R$2:$R$1222,"=1")</f>
        <v>14</v>
      </c>
      <c r="N29" s="45">
        <f>COUNTIFS('Mediation Dataset (Sudans)'!$G$2:$G$1222,"EU", 'Mediation Dataset (Sudans)'!$S$2:$S$1222,"=1")</f>
        <v>3</v>
      </c>
      <c r="O29" s="45">
        <f>COUNTIFS('Mediation Dataset (Sudans)'!$G$2:$G$1222,"EU", 'Mediation Dataset (Sudans)'!$T$2:$T$1222,"=1")</f>
        <v>7</v>
      </c>
      <c r="P29" s="45">
        <f>COUNTIFS('Mediation Dataset (Sudans)'!$G$2:$G$1222,"EU", 'Mediation Dataset (Sudans)'!$U$2:$U$1222,"=1")</f>
        <v>7</v>
      </c>
      <c r="Q29" s="45">
        <f>COUNTIFS('Mediation Dataset (Sudans)'!$G$2:$G$1222,"EU", 'Mediation Dataset (Sudans)'!$V$2:$V$1222,"=1")</f>
        <v>6</v>
      </c>
    </row>
    <row r="30" spans="4:17">
      <c r="D30" s="55" t="s">
        <v>324</v>
      </c>
      <c r="E30" s="53">
        <f>COUNTIFS('Mediation Dataset (Sudans)'!$G$2:$G$1222,"Algeria", 'Mediation Dataset (Sudans)'!$K$2:$K$1222,"S")</f>
        <v>0</v>
      </c>
      <c r="F30" s="53">
        <f>COUNTIFS('Mediation Dataset (Sudans)'!$G$2:$G$1222,"Algeria", 'Mediation Dataset (Sudans)'!$K$2:$K$1222,"G")</f>
        <v>3</v>
      </c>
      <c r="G30" s="53"/>
      <c r="I30" s="46" t="s">
        <v>324</v>
      </c>
      <c r="J30" s="45">
        <f>COUNTIFS('Mediation Dataset (Sudans)'!$G$2:$G$1222,"Algeria", 'Mediation Dataset (Sudans)'!$O$2:$O$1222,"=1")</f>
        <v>1</v>
      </c>
      <c r="K30" s="45">
        <f>COUNTIFS('Mediation Dataset (Sudans)'!$G$2:$G$1222,"Algeria", 'Mediation Dataset (Sudans)'!$P$2:$P$1222,"=1")</f>
        <v>2</v>
      </c>
      <c r="L30" s="45"/>
      <c r="M30" s="45"/>
      <c r="N30" s="45"/>
      <c r="O30" s="45"/>
      <c r="P30" s="45"/>
      <c r="Q30" s="45"/>
    </row>
    <row r="31" spans="4:17">
      <c r="D31" s="55" t="s">
        <v>325</v>
      </c>
      <c r="E31" s="53">
        <f>COUNTIFS('Mediation Dataset (Sudans)'!$G$2:$G$1222,"Angola", 'Mediation Dataset (Sudans)'!$K$2:$K$1222,"S")</f>
        <v>0</v>
      </c>
      <c r="F31" s="53">
        <f>COUNTIFS('Mediation Dataset (Sudans)'!$G$2:$G$1222,"Angola", 'Mediation Dataset (Sudans)'!$K$2:$K$1222,"G")</f>
        <v>1</v>
      </c>
      <c r="G31" s="53"/>
      <c r="I31" s="46" t="s">
        <v>325</v>
      </c>
      <c r="J31" s="45">
        <f>COUNTIFS('Mediation Dataset (Sudans)'!$G$2:$G$1222,"Angola", 'Mediation Dataset (Sudans)'!$O$2:$O$1222,"=1")</f>
        <v>1</v>
      </c>
      <c r="K31" s="45">
        <f>COUNTIFS('Mediation Dataset (Sudans)'!$G$2:$G$1222,"Angola", 'Mediation Dataset (Sudans)'!$P$2:$P$1222,"=1")</f>
        <v>2</v>
      </c>
      <c r="L31" s="45"/>
      <c r="M31" s="45"/>
      <c r="N31" s="45"/>
      <c r="O31" s="45"/>
      <c r="P31" s="45"/>
      <c r="Q31" s="45"/>
    </row>
    <row r="32" spans="4:17">
      <c r="D32" s="55" t="s">
        <v>326</v>
      </c>
      <c r="E32" s="53">
        <f>COUNTIFS('Mediation Dataset (Sudans)'!$G$2:$G$1222,"Benin", 'Mediation Dataset (Sudans)'!$K$2:$K$1222,"S")</f>
        <v>0</v>
      </c>
      <c r="F32" s="53">
        <f>COUNTIFS('Mediation Dataset (Sudans)'!$G$2:$G$1222,"Benin", 'Mediation Dataset (Sudans)'!$K$2:$K$1222,"G")</f>
        <v>1</v>
      </c>
      <c r="G32" s="53"/>
      <c r="I32" s="46" t="s">
        <v>326</v>
      </c>
      <c r="J32" s="45">
        <f>COUNTIFS('Mediation Dataset (Sudans)'!$G$2:$G$1222,"Benin", 'Mediation Dataset (Sudans)'!$O$2:$O$1222,"=1")</f>
        <v>0</v>
      </c>
      <c r="K32" s="45">
        <f>COUNTIFS('Mediation Dataset (Sudans)'!$G$2:$G$1222,"Benin", 'Mediation Dataset (Sudans)'!$P$2:$P$1222,"=1")</f>
        <v>1</v>
      </c>
      <c r="L32" s="45"/>
      <c r="M32" s="45"/>
      <c r="N32" s="45"/>
      <c r="O32" s="45"/>
      <c r="P32" s="45"/>
      <c r="Q32" s="45"/>
    </row>
    <row r="33" spans="4:17">
      <c r="D33" s="55" t="s">
        <v>327</v>
      </c>
      <c r="E33" s="53">
        <f>COUNTIFS('Mediation Dataset (Sudans)'!$G$2:$G$1222,"Brazil", 'Mediation Dataset (Sudans)'!$K$2:$K$1222,"S")</f>
        <v>0</v>
      </c>
      <c r="F33" s="53">
        <f>COUNTIFS('Mediation Dataset (Sudans)'!$G$2:$G$1222,"Brazil", 'Mediation Dataset (Sudans)'!$K$2:$K$1222,"G")</f>
        <v>1</v>
      </c>
      <c r="G33" s="53"/>
      <c r="I33" s="46" t="s">
        <v>327</v>
      </c>
      <c r="J33" s="45">
        <f>COUNTIFS('Mediation Dataset (Sudans)'!$G$2:$G$1222,"Brazil", 'Mediation Dataset (Sudans)'!$O$2:$O$1222,"=1")</f>
        <v>0</v>
      </c>
      <c r="K33" s="45">
        <f>COUNTIFS('Mediation Dataset (Sudans)'!$G$2:$G$1222,"Brazil", 'Mediation Dataset (Sudans)'!$P$2:$P$1222,"=1")</f>
        <v>1</v>
      </c>
      <c r="L33" s="45"/>
      <c r="M33" s="45"/>
      <c r="N33" s="45"/>
      <c r="O33" s="45"/>
      <c r="P33" s="45"/>
      <c r="Q33" s="45"/>
    </row>
    <row r="34" spans="4:17">
      <c r="D34" s="55" t="s">
        <v>222</v>
      </c>
      <c r="E34" s="53">
        <f>COUNTIFS('Mediation Dataset (Sudans)'!$G$2:$G$1222,"France", 'Mediation Dataset (Sudans)'!$K$2:$K$1222,"S")</f>
        <v>0</v>
      </c>
      <c r="F34" s="53">
        <f>COUNTIFS('Mediation Dataset (Sudans)'!$G$2:$G$1222,"France", 'Mediation Dataset (Sudans)'!$K$2:$K$1222,"G")</f>
        <v>7</v>
      </c>
      <c r="G34" s="53"/>
      <c r="I34" s="46" t="s">
        <v>222</v>
      </c>
      <c r="J34" s="45">
        <f>COUNTIFS('Mediation Dataset (Sudans)'!$G$2:$G$1222,"France", 'Mediation Dataset (Sudans)'!$O$2:$O$1222,"=1")</f>
        <v>1</v>
      </c>
      <c r="K34" s="45">
        <f>COUNTIFS('Mediation Dataset (Sudans)'!$G$2:$G$1222,"France", 'Mediation Dataset (Sudans)'!$P$2:$P$1222,"=1")</f>
        <v>1</v>
      </c>
      <c r="L34" s="45"/>
      <c r="M34" s="45"/>
      <c r="N34" s="45"/>
      <c r="O34" s="45"/>
      <c r="P34" s="45"/>
      <c r="Q34" s="45"/>
    </row>
    <row r="35" spans="4:17">
      <c r="D35" s="55" t="s">
        <v>223</v>
      </c>
      <c r="E35" s="53">
        <f>COUNTIFS('Mediation Dataset (Sudans)'!$G$2:$G$1222,"Germany", 'Mediation Dataset (Sudans)'!$K$2:$K$1222,"S")</f>
        <v>1</v>
      </c>
      <c r="F35" s="53">
        <f>COUNTIFS('Mediation Dataset (Sudans)'!$G$2:$G$1222,"Germany", 'Mediation Dataset (Sudans)'!$K$2:$K$1222,"G")</f>
        <v>14</v>
      </c>
      <c r="G35" s="53"/>
      <c r="I35" s="46" t="s">
        <v>223</v>
      </c>
      <c r="J35" s="45">
        <f>COUNTIFS('Mediation Dataset (Sudans)'!$G$2:$G$1222,"Germany", 'Mediation Dataset (Sudans)'!$O$2:$O$1222,"=1")</f>
        <v>7</v>
      </c>
      <c r="K35" s="45">
        <f>COUNTIFS('Mediation Dataset (Sudans)'!$G$2:$G$1222,"Germany", 'Mediation Dataset (Sudans)'!$P$2:$P$1222,"=1")</f>
        <v>1</v>
      </c>
      <c r="L35" s="45"/>
      <c r="M35" s="45"/>
      <c r="N35" s="45"/>
      <c r="O35" s="45"/>
      <c r="P35" s="45"/>
      <c r="Q35" s="45"/>
    </row>
    <row r="36" spans="4:17">
      <c r="D36" s="55" t="s">
        <v>328</v>
      </c>
      <c r="E36" s="53">
        <f>COUNTIFS('Mediation Dataset (Sudans)'!$G$2:$G$1222,"Pakistan", 'Mediation Dataset (Sudans)'!$K$2:$K$1222,"S")</f>
        <v>0</v>
      </c>
      <c r="F36" s="53">
        <f>COUNTIFS('Mediation Dataset (Sudans)'!$G$2:$G$1222,"Pakistan", 'Mediation Dataset (Sudans)'!$K$2:$K$1222,"G")</f>
        <v>1</v>
      </c>
      <c r="G36" s="53"/>
      <c r="I36" s="46" t="s">
        <v>328</v>
      </c>
      <c r="J36" s="45">
        <f>COUNTIFS('Mediation Dataset (Sudans)'!$G$2:$G$1222,"Pakistan", 'Mediation Dataset (Sudans)'!$O$2:$O$1222,"=1")</f>
        <v>0</v>
      </c>
      <c r="K36" s="45">
        <f>COUNTIFS('Mediation Dataset (Sudans)'!$G$2:$G$1222,"Pakistan", 'Mediation Dataset (Sudans)'!$P$2:$P$1222,"=1")</f>
        <v>1</v>
      </c>
      <c r="L36" s="45"/>
      <c r="M36" s="45"/>
      <c r="N36" s="45"/>
      <c r="O36" s="45"/>
      <c r="P36" s="45"/>
      <c r="Q36" s="45"/>
    </row>
    <row r="37" spans="4:17">
      <c r="D37" s="55" t="s">
        <v>329</v>
      </c>
      <c r="E37" s="53">
        <f>COUNTIFS('Mediation Dataset (Sudans)'!$G$2:$G$1222,"Philippines", 'Mediation Dataset (Sudans)'!$K$2:$K$1222,"S")</f>
        <v>0</v>
      </c>
      <c r="F37" s="53">
        <f>COUNTIFS('Mediation Dataset (Sudans)'!$G$2:$G$1222,"Philippines", 'Mediation Dataset (Sudans)'!$K$2:$K$1222,"G")</f>
        <v>1</v>
      </c>
      <c r="G37" s="53"/>
      <c r="I37" s="46" t="s">
        <v>329</v>
      </c>
      <c r="J37" s="45">
        <f>COUNTIFS('Mediation Dataset (Sudans)'!$G$2:$G$1222,"Philippines", 'Mediation Dataset (Sudans)'!$O$2:$O$1222,"=1")</f>
        <v>0</v>
      </c>
      <c r="K37" s="45">
        <f>COUNTIFS('Mediation Dataset (Sudans)'!$G$2:$G$1222,"Philippines", 'Mediation Dataset (Sudans)'!$P$2:$P$1222,"=1")</f>
        <v>1</v>
      </c>
      <c r="L37" s="45"/>
      <c r="M37" s="45"/>
      <c r="N37" s="45"/>
      <c r="O37" s="45"/>
      <c r="P37" s="45"/>
      <c r="Q37" s="45"/>
    </row>
    <row r="38" spans="4:17">
      <c r="D38" s="55" t="s">
        <v>330</v>
      </c>
      <c r="E38" s="53">
        <f>COUNTIFS('Mediation Dataset (Sudans)'!$G$2:$G$1222,"Romania", 'Mediation Dataset (Sudans)'!$K$2:$K$1222,"S")</f>
        <v>0</v>
      </c>
      <c r="F38" s="53">
        <f>COUNTIFS('Mediation Dataset (Sudans)'!$G$2:$G$1222,"Romania", 'Mediation Dataset (Sudans)'!$K$2:$K$1222,"G")</f>
        <v>3</v>
      </c>
      <c r="G38" s="53"/>
      <c r="I38" s="46" t="s">
        <v>330</v>
      </c>
      <c r="J38" s="45">
        <f>COUNTIFS('Mediation Dataset (Sudans)'!$G$2:$G$1222,"Romania", 'Mediation Dataset (Sudans)'!$O$2:$O$1222,"=1")</f>
        <v>0</v>
      </c>
      <c r="K38" s="45">
        <f>COUNTIFS('Mediation Dataset (Sudans)'!$G$2:$G$1222,"Romania", 'Mediation Dataset (Sudans)'!$P$2:$P$1222,"=1")</f>
        <v>1</v>
      </c>
      <c r="L38" s="45"/>
      <c r="M38" s="45"/>
      <c r="N38" s="45"/>
      <c r="O38" s="45"/>
      <c r="P38" s="45"/>
      <c r="Q38" s="45"/>
    </row>
    <row r="39" spans="4:17">
      <c r="D39" s="55" t="s">
        <v>62</v>
      </c>
      <c r="E39" s="53">
        <f>COUNTIFS('Mediation Dataset (Sudans)'!$G$2:$G$1222,"Russia", 'Mediation Dataset (Sudans)'!$K$2:$K$1222,"S")</f>
        <v>1</v>
      </c>
      <c r="F39" s="53">
        <f>COUNTIFS('Mediation Dataset (Sudans)'!$G$2:$G$1222,"Russia", 'Mediation Dataset (Sudans)'!$K$2:$K$1222,"G")</f>
        <v>4</v>
      </c>
      <c r="G39" s="53"/>
      <c r="I39" s="46" t="s">
        <v>62</v>
      </c>
      <c r="J39" s="45">
        <f>COUNTIFS('Mediation Dataset (Sudans)'!$G$2:$G$1222,"Russia", 'Mediation Dataset (Sudans)'!$O$2:$O$1222,"=1")</f>
        <v>0</v>
      </c>
      <c r="K39" s="45">
        <f>COUNTIFS('Mediation Dataset (Sudans)'!$G$2:$G$1222,"Russia", 'Mediation Dataset (Sudans)'!$P$2:$P$1222,"=1")</f>
        <v>2</v>
      </c>
      <c r="L39" s="45">
        <f>COUNTIFS('Mediation Dataset (Sudans)'!$G$2:$G$1222,"Russia", 'Mediation Dataset (Sudans)'!$Q$2:$Q$1222,"=1")</f>
        <v>1</v>
      </c>
      <c r="M39" s="45">
        <f>COUNTIFS('Mediation Dataset (Sudans)'!$G$2:$G$1222,"Russia", 'Mediation Dataset (Sudans)'!$R$2:$R$1222,"=1")</f>
        <v>3</v>
      </c>
      <c r="N39" s="45">
        <f>COUNTIFS('Mediation Dataset (Sudans)'!$G$2:$G$1222,"Russia", 'Mediation Dataset (Sudans)'!$S$2:$S$1222,"=1")</f>
        <v>0</v>
      </c>
      <c r="O39" s="45">
        <f>COUNTIFS('Mediation Dataset (Sudans)'!$G$2:$G$1222,"Russia", 'Mediation Dataset (Sudans)'!$T$2:$T$1222,"=1")</f>
        <v>1</v>
      </c>
      <c r="P39" s="45">
        <f>COUNTIFS('Mediation Dataset (Sudans)'!$G$2:$G$1222,"Russia", 'Mediation Dataset (Sudans)'!$U$2:$U$1222,"=1")</f>
        <v>3</v>
      </c>
      <c r="Q39" s="45">
        <f>COUNTIFS('Mediation Dataset (Sudans)'!$G$2:$G$1222,"Russia", 'Mediation Dataset (Sudans)'!$V$2:$V$1222,"=1")</f>
        <v>0</v>
      </c>
    </row>
    <row r="40" spans="4:17">
      <c r="D40" s="55" t="s">
        <v>331</v>
      </c>
      <c r="E40" s="53">
        <f>COUNTIFS('Mediation Dataset (Sudans)'!$G$2:$G$1222,"Spain", 'Mediation Dataset (Sudans)'!$K$2:$K$1222,"S")</f>
        <v>1</v>
      </c>
      <c r="F40" s="53">
        <f>COUNTIFS('Mediation Dataset (Sudans)'!$G$2:$G$1222,"Spain", 'Mediation Dataset (Sudans)'!$K$2:$K$1222,"G")</f>
        <v>4</v>
      </c>
      <c r="G40" s="53"/>
      <c r="I40" s="46" t="s">
        <v>331</v>
      </c>
      <c r="J40" s="45">
        <f>COUNTIFS('Mediation Dataset (Sudans)'!$G$2:$G$1222,"Spain", 'Mediation Dataset (Sudans)'!$O$2:$O$1222,"=1")</f>
        <v>0</v>
      </c>
      <c r="K40" s="45">
        <f>COUNTIFS('Mediation Dataset (Sudans)'!$G$2:$G$1222,"Spain", 'Mediation Dataset (Sudans)'!$P$2:$P$1222,"=1")</f>
        <v>1</v>
      </c>
      <c r="L40" s="45"/>
      <c r="M40" s="45"/>
      <c r="N40" s="45"/>
      <c r="O40" s="45"/>
      <c r="P40" s="45"/>
      <c r="Q40" s="45"/>
    </row>
    <row r="41" spans="4:17">
      <c r="D41" s="55" t="s">
        <v>377</v>
      </c>
      <c r="E41" s="53">
        <f>COUNTIFS('Mediation Dataset (Sudans)'!$G$2:$G$1222,"Netherlands", 'Mediation Dataset (Sudans)'!$K$2:$K$1222,"S")</f>
        <v>0</v>
      </c>
      <c r="F41" s="53">
        <f>COUNTIFS('Mediation Dataset (Sudans)'!$G$2:$G$1222,"Netherlands", 'Mediation Dataset (Sudans)'!$K$2:$K$1222,"G")</f>
        <v>6</v>
      </c>
      <c r="G41" s="53"/>
      <c r="I41" s="46" t="s">
        <v>377</v>
      </c>
      <c r="J41" s="45">
        <f>COUNTIFS('Mediation Dataset (Sudans)'!$G$2:$G$1222,"Netherlands", 'Mediation Dataset (Sudans)'!$O$2:$O$1222,"=1")</f>
        <v>1</v>
      </c>
      <c r="K41" s="45">
        <f>COUNTIFS('Mediation Dataset (Sudans)'!$G$2:$G$1222,"Netherlands", 'Mediation Dataset (Sudans)'!$P$2:$P$1222,"=1")</f>
        <v>0</v>
      </c>
      <c r="L41" s="45"/>
      <c r="M41" s="45"/>
      <c r="N41" s="45"/>
      <c r="O41" s="45"/>
      <c r="P41" s="45"/>
      <c r="Q41" s="45"/>
    </row>
    <row r="42" spans="4:17">
      <c r="D42" s="55" t="s">
        <v>386</v>
      </c>
      <c r="E42" s="53">
        <f>COUNTIFS('Mediation Dataset (Sudans)'!$G$2:$G$1222,"IPF", 'Mediation Dataset (Sudans)'!$K$2:$K$1222,"S")</f>
        <v>0</v>
      </c>
      <c r="F42" s="53">
        <f>COUNTIFS('Mediation Dataset (Sudans)'!$G$2:$G$1222,"IPF", 'Mediation Dataset (Sudans)'!$K$2:$K$1222,"G")</f>
        <v>3</v>
      </c>
      <c r="G42" s="53"/>
      <c r="I42" s="46" t="s">
        <v>386</v>
      </c>
      <c r="J42" s="45">
        <f>COUNTIFS('Mediation Dataset (Sudans)'!$G$2:$G$1222,"IPF", 'Mediation Dataset (Sudans)'!$O$2:$O$1222,"=1")</f>
        <v>0</v>
      </c>
      <c r="K42" s="45">
        <f>COUNTIFS('Mediation Dataset (Sudans)'!$G$2:$G$1222,"IPF", 'Mediation Dataset (Sudans)'!$P$2:$P$1222,"=1")</f>
        <v>0</v>
      </c>
      <c r="L42" s="45"/>
      <c r="M42" s="45"/>
      <c r="N42" s="45"/>
      <c r="O42" s="45"/>
      <c r="P42" s="45"/>
      <c r="Q42" s="45"/>
    </row>
    <row r="43" spans="4:17">
      <c r="D43" s="55" t="s">
        <v>157</v>
      </c>
      <c r="E43" s="53">
        <f>COUNTIFS('Mediation Dataset (Sudans)'!$G$2:$G$1222,"Qatar", 'Mediation Dataset (Sudans)'!$K$2:$K$1222,"S")</f>
        <v>8</v>
      </c>
      <c r="F43" s="53">
        <f>COUNTIFS('Mediation Dataset (Sudans)'!$G$2:$G$1222,"Qatar", 'Mediation Dataset (Sudans)'!$K$2:$K$1222,"G")</f>
        <v>7</v>
      </c>
      <c r="G43" s="53"/>
      <c r="I43" s="46" t="s">
        <v>157</v>
      </c>
      <c r="J43" s="45">
        <f>COUNTIFS('Mediation Dataset (Sudans)'!$G$2:$G$1222,"Qatar", 'Mediation Dataset (Sudans)'!$O$2:$O$1222,"=1")</f>
        <v>2</v>
      </c>
      <c r="K43" s="45">
        <f>COUNTIFS('Mediation Dataset (Sudans)'!$G$2:$G$1222,"Qatar", 'Mediation Dataset (Sudans)'!$P$2:$P$1222,"=1")</f>
        <v>6</v>
      </c>
      <c r="L43" s="45">
        <f>COUNTIFS('Mediation Dataset (Sudans)'!$G$2:$G$1222,"Qatar", 'Mediation Dataset (Sudans)'!$Q$2:$Q$1222,"=1")</f>
        <v>7</v>
      </c>
      <c r="M43" s="45">
        <f>COUNTIFS('Mediation Dataset (Sudans)'!$G$2:$G$1222,"Qatar", 'Mediation Dataset (Sudans)'!$R$2:$R$1222,"=1")</f>
        <v>5</v>
      </c>
      <c r="N43" s="45">
        <f>COUNTIFS('Mediation Dataset (Sudans)'!$G$2:$G$1222,"Qatar", 'Mediation Dataset (Sudans)'!$S$2:$S$1222,"=1")</f>
        <v>2</v>
      </c>
      <c r="O43" s="45">
        <f>COUNTIFS('Mediation Dataset (Sudans)'!$G$2:$G$1222,"Qatar", 'Mediation Dataset (Sudans)'!$T$2:$T$1222,"=1")</f>
        <v>2</v>
      </c>
      <c r="P43" s="45">
        <f>COUNTIFS('Mediation Dataset (Sudans)'!$G$2:$G$1222,"Qatar", 'Mediation Dataset (Sudans)'!$U$2:$U$1222,"=1")</f>
        <v>5</v>
      </c>
      <c r="Q43" s="45">
        <f>COUNTIFS('Mediation Dataset (Sudans)'!$G$2:$G$1222,"Qatar", 'Mediation Dataset (Sudans)'!$V$2:$V$1222,"=1")</f>
        <v>4</v>
      </c>
    </row>
    <row r="44" spans="4:17">
      <c r="D44" s="55" t="s">
        <v>163</v>
      </c>
      <c r="E44" s="53">
        <f>COUNTIFS('Mediation Dataset (Sudans)'!$G$2:$G$1222,"Episcopal Church of Sudan", 'Mediation Dataset (Sudans)'!$K$2:$K$1222,"S")</f>
        <v>0</v>
      </c>
      <c r="F44" s="53">
        <f>COUNTIFS('Mediation Dataset (Sudans)'!$G$2:$G$1222,"Episcopal Church of Sudan", 'Mediation Dataset (Sudans)'!$K$2:$K$1222,"G")</f>
        <v>0</v>
      </c>
      <c r="G44" s="53"/>
      <c r="I44" s="46" t="s">
        <v>163</v>
      </c>
      <c r="J44" s="45">
        <f>COUNTIFS('Mediation Dataset (Sudans)'!$G$2:$G$1222,"Episcopal Church of Sudan", 'Mediation Dataset (Sudans)'!$O$2:$O$1222,"=1")</f>
        <v>0</v>
      </c>
      <c r="K44" s="45">
        <f>COUNTIFS('Mediation Dataset (Sudans)'!$G$2:$G$1222,"Episcopal Church of Sudan", 'Mediation Dataset (Sudans)'!$P$2:$P$1222,"=1")</f>
        <v>1</v>
      </c>
      <c r="L44" s="45"/>
      <c r="M44" s="45"/>
      <c r="N44" s="45"/>
      <c r="O44" s="45"/>
      <c r="P44" s="45"/>
      <c r="Q44" s="45"/>
    </row>
    <row r="45" spans="4:17">
      <c r="D45" s="55" t="s">
        <v>210</v>
      </c>
      <c r="E45" s="53">
        <f>COUNTIFS('Mediation Dataset (Sudans)'!$G$2:$G$1222,"South Sudan Council of Churches", 'Mediation Dataset (Sudans)'!$K$2:$K$1222,"S")</f>
        <v>0</v>
      </c>
      <c r="F45" s="53">
        <f>COUNTIFS('Mediation Dataset (Sudans)'!$G$2:$G$1222,"South Sudan Council of Churches", 'Mediation Dataset (Sudans)'!$K$2:$K$1222,"G")</f>
        <v>0</v>
      </c>
      <c r="G45" s="53"/>
      <c r="I45" s="46" t="s">
        <v>210</v>
      </c>
      <c r="J45" s="45">
        <f>COUNTIFS('Mediation Dataset (Sudans)'!$G$2:$G$1222,"South Sudan Council of Churches", 'Mediation Dataset (Sudans)'!$O$2:$O$1222,"=1")</f>
        <v>2</v>
      </c>
      <c r="K45" s="45">
        <f>COUNTIFS('Mediation Dataset (Sudans)'!$G$2:$G$1222,"South Sudan Council of Churches", 'Mediation Dataset (Sudans)'!$P$2:$P$1222,"=1")</f>
        <v>2</v>
      </c>
      <c r="L45" s="45"/>
      <c r="M45" s="45"/>
      <c r="N45" s="45"/>
      <c r="O45" s="45"/>
      <c r="P45" s="45"/>
      <c r="Q45" s="45"/>
    </row>
    <row r="46" spans="4:17">
      <c r="D46" s="55" t="s">
        <v>243</v>
      </c>
      <c r="E46" s="53">
        <f>COUNTIFS('Mediation Dataset (Sudans)'!$G$2:$G$1222,"James Ellery", 'Mediation Dataset (Sudans)'!$K$2:$K$1222,"S")</f>
        <v>0</v>
      </c>
      <c r="F46" s="53">
        <f>COUNTIFS('Mediation Dataset (Sudans)'!$G$2:$G$1222,"James Ellery", 'Mediation Dataset (Sudans)'!$K$2:$K$1222,"G")</f>
        <v>0</v>
      </c>
      <c r="G46" s="53"/>
      <c r="I46" s="46" t="s">
        <v>243</v>
      </c>
      <c r="J46" s="45">
        <f>COUNTIFS('Mediation Dataset (Sudans)'!$G$2:$G$1222,"James Ellery", 'Mediation Dataset (Sudans)'!$O$2:$O$1222,"=1")</f>
        <v>0</v>
      </c>
      <c r="K46" s="45">
        <f>COUNTIFS('Mediation Dataset (Sudans)'!$G$2:$G$1222,"James Ellery", 'Mediation Dataset (Sudans)'!$P$2:$P$1222,"=1")</f>
        <v>1</v>
      </c>
      <c r="L46" s="45"/>
      <c r="M46" s="45"/>
      <c r="N46" s="45"/>
      <c r="O46" s="45"/>
      <c r="P46" s="45"/>
      <c r="Q46" s="45"/>
    </row>
    <row r="47" spans="4:17">
      <c r="D47" s="53" t="s">
        <v>438</v>
      </c>
      <c r="E47" s="53">
        <f>COUNTIFS('Mediation Dataset (Sudans)'!$G$2:$G$1222,"Local Murle elites", 'Mediation Dataset (Sudans)'!$K$2:$K$1222,"S")</f>
        <v>0</v>
      </c>
      <c r="F47" s="53">
        <f>COUNTIFS('Mediation Dataset (Sudans)'!$G$2:$G$1222,"Local Murle elites", 'Mediation Dataset (Sudans)'!$K$2:$K$1222,"G")</f>
        <v>0</v>
      </c>
      <c r="G47" s="53"/>
      <c r="I47" s="45" t="s">
        <v>438</v>
      </c>
      <c r="J47" s="45">
        <f>COUNTIFS('Mediation Dataset (Sudans)'!$G$2:$G$1222,"Local Murle elites", 'Mediation Dataset (Sudans)'!$O$2:$O$1222,"=1")</f>
        <v>0</v>
      </c>
      <c r="K47" s="45">
        <f>COUNTIFS('Mediation Dataset (Sudans)'!$G$2:$G$1222,"Local Murle elites", 'Mediation Dataset (Sudans)'!$P$2:$P$1222,"=1")</f>
        <v>0</v>
      </c>
      <c r="L47" s="45"/>
      <c r="M47" s="45"/>
      <c r="N47" s="45"/>
      <c r="O47" s="45"/>
      <c r="P47" s="45"/>
      <c r="Q47" s="45"/>
    </row>
    <row r="48" spans="4:17">
      <c r="D48" s="55" t="s">
        <v>245</v>
      </c>
      <c r="E48" s="53">
        <f>COUNTIFS('Mediation Dataset (Sudans)'!$G$2:$G$1222,"Equatorian Church Leaders", 'Mediation Dataset (Sudans)'!$K$2:$K$1222,"S")</f>
        <v>0</v>
      </c>
      <c r="F48" s="53">
        <f>COUNTIFS('Mediation Dataset (Sudans)'!$G$2:$G$1222,"Equatorian Church Leaders", 'Mediation Dataset (Sudans)'!$K$2:$K$1222,"G")</f>
        <v>0</v>
      </c>
      <c r="G48" s="53"/>
      <c r="I48" s="46" t="s">
        <v>245</v>
      </c>
      <c r="J48" s="45">
        <f>COUNTIFS('Mediation Dataset (Sudans)'!$G$2:$G$1222,"Equatorian Church Leaders", 'Mediation Dataset (Sudans)'!$O$2:$O$1222,"=1")</f>
        <v>0</v>
      </c>
      <c r="K48" s="45">
        <f>COUNTIFS('Mediation Dataset (Sudans)'!$G$2:$G$1222,"Equatorian Church Leaders", 'Mediation Dataset (Sudans)'!$P$2:$P$1222,"=1")</f>
        <v>1</v>
      </c>
      <c r="L48" s="45"/>
      <c r="M48" s="45"/>
      <c r="N48" s="45"/>
      <c r="O48" s="45"/>
      <c r="P48" s="45"/>
      <c r="Q48" s="45"/>
    </row>
    <row r="49" spans="4:17">
      <c r="D49" s="55" t="s">
        <v>244</v>
      </c>
      <c r="E49" s="53">
        <f>COUNTIFS('Mediation Dataset (Sudans)'!$G$2:$G$1222,"PAX", 'Mediation Dataset (Sudans)'!$K$2:$K$1222,"S")</f>
        <v>0</v>
      </c>
      <c r="F49" s="53">
        <f>COUNTIFS('Mediation Dataset (Sudans)'!$G$2:$G$1222,"PAX", 'Mediation Dataset (Sudans)'!$K$2:$K$1222,"G")</f>
        <v>0</v>
      </c>
      <c r="G49" s="53"/>
      <c r="I49" s="46" t="s">
        <v>244</v>
      </c>
      <c r="J49" s="45">
        <f>COUNTIFS('Mediation Dataset (Sudans)'!$G$2:$G$1222,"PAX", 'Mediation Dataset (Sudans)'!$O$2:$O$1222,"=1")</f>
        <v>0</v>
      </c>
      <c r="K49" s="45">
        <f>COUNTIFS('Mediation Dataset (Sudans)'!$G$2:$G$1222,"PAX", 'Mediation Dataset (Sudans)'!$P$2:$P$1222,"=1")</f>
        <v>0</v>
      </c>
      <c r="L49" s="45"/>
      <c r="M49" s="45"/>
      <c r="N49" s="45"/>
      <c r="O49" s="45"/>
      <c r="P49" s="45"/>
      <c r="Q49" s="45"/>
    </row>
    <row r="50" spans="4:17">
      <c r="D50" s="55" t="s">
        <v>1173</v>
      </c>
      <c r="E50" s="53">
        <f>COUNTIFS('Mediation Dataset (Sudans)'!$G$2:$G$1222,"Norwegian Church Aid", 'Mediation Dataset (Sudans)'!$K$2:$K$1222,"S")</f>
        <v>0</v>
      </c>
      <c r="F50" s="53">
        <f>COUNTIFS('Mediation Dataset (Sudans)'!$G$2:$G$1222,"Norwegian Church Aid", 'Mediation Dataset (Sudans)'!$K$2:$K$1222,"G")</f>
        <v>0</v>
      </c>
      <c r="G50" s="53"/>
      <c r="I50" s="46" t="s">
        <v>1173</v>
      </c>
      <c r="J50" s="45">
        <f>COUNTIFS('Mediation Dataset (Sudans)'!$G$2:$G$1222,"Norwegian Church Aid", 'Mediation Dataset (Sudans)'!$O$2:$O$1222,"=1")</f>
        <v>0</v>
      </c>
      <c r="K50" s="45">
        <f>COUNTIFS('Mediation Dataset (Sudans)'!$G$2:$G$1222,"Norwegian Church Aid", 'Mediation Dataset (Sudans)'!$P$2:$P$1222,"=1")</f>
        <v>0</v>
      </c>
      <c r="L50" s="45"/>
      <c r="M50" s="45"/>
      <c r="N50" s="45"/>
      <c r="O50" s="45"/>
      <c r="P50" s="45"/>
      <c r="Q50" s="45"/>
    </row>
    <row r="51" spans="4:17">
      <c r="D51" s="55" t="s">
        <v>211</v>
      </c>
      <c r="E51" s="53">
        <f>COUNTIFS('Mediation Dataset (Sudans)'!$G$2:$G$1222,"Shilluk reth", 'Mediation Dataset (Sudans)'!$K$2:$K$1222,"S")</f>
        <v>0</v>
      </c>
      <c r="F51" s="53">
        <f>COUNTIFS('Mediation Dataset (Sudans)'!$G$2:$G$1222,"Shilluk reth", 'Mediation Dataset (Sudans)'!$K$2:$K$1222,"G")</f>
        <v>0</v>
      </c>
      <c r="G51" s="53"/>
      <c r="I51" s="46" t="s">
        <v>211</v>
      </c>
      <c r="J51" s="45">
        <f>COUNTIFS('Mediation Dataset (Sudans)'!$G$2:$G$1222,"Shilluk reth", 'Mediation Dataset (Sudans)'!$O$2:$O$1222,"=1")</f>
        <v>0</v>
      </c>
      <c r="K51" s="45">
        <f>COUNTIFS('Mediation Dataset (Sudans)'!$G$2:$G$1222,"Shilluk reth", 'Mediation Dataset (Sudans)'!$P$2:$P$1222,"=1")</f>
        <v>3</v>
      </c>
      <c r="L51" s="45"/>
      <c r="M51" s="45"/>
      <c r="N51" s="45"/>
      <c r="O51" s="45"/>
      <c r="P51" s="45"/>
      <c r="Q51" s="45"/>
    </row>
    <row r="52" spans="4:17">
      <c r="D52" s="55" t="s">
        <v>60</v>
      </c>
      <c r="E52" s="53">
        <f>COUNTIFS('Mediation Dataset (Sudans)'!$G$2:$G$1222,"Sudan", 'Mediation Dataset (Sudans)'!$K$2:$K$1222,"S")</f>
        <v>4</v>
      </c>
      <c r="F52" s="53">
        <f>COUNTIFS('Mediation Dataset (Sudans)'!$G$2:$G$1222,"Sudan", 'Mediation Dataset (Sudans)'!$K$2:$K$1222,"G")</f>
        <v>8</v>
      </c>
      <c r="G52" s="53"/>
      <c r="I52" s="46" t="s">
        <v>60</v>
      </c>
      <c r="J52" s="45">
        <f>COUNTIFS('Mediation Dataset (Sudans)'!$G$2:$G$1222,"Sudan", 'Mediation Dataset (Sudans)'!$O$2:$O$1222,"=1")</f>
        <v>6</v>
      </c>
      <c r="K52" s="45">
        <f>COUNTIFS('Mediation Dataset (Sudans)'!$G$2:$G$1222,"Sudan", 'Mediation Dataset (Sudans)'!$P$2:$P$1222,"=1")</f>
        <v>20</v>
      </c>
      <c r="L52" s="45">
        <f>COUNTIFS('Mediation Dataset (Sudans)'!$G$2:$G$1222,"Sudan", 'Mediation Dataset (Sudans)'!$Q$2:$Q$1222,"=1")</f>
        <v>8</v>
      </c>
      <c r="M52" s="45">
        <f>COUNTIFS('Mediation Dataset (Sudans)'!$G$2:$G$1222,"Sudan", 'Mediation Dataset (Sudans)'!$R$2:$R$1222,"=1")</f>
        <v>6</v>
      </c>
      <c r="N52" s="45">
        <f>COUNTIFS('Mediation Dataset (Sudans)'!$G$2:$G$1222,"Sudan", 'Mediation Dataset (Sudans)'!$S$2:$S$1222,"=1")</f>
        <v>2</v>
      </c>
      <c r="O52" s="45">
        <f>COUNTIFS('Mediation Dataset (Sudans)'!$G$2:$G$1222,"Sudan", 'Mediation Dataset (Sudans)'!$T$2:$T$1222,"=1")</f>
        <v>0</v>
      </c>
      <c r="P52" s="45">
        <f>COUNTIFS('Mediation Dataset (Sudans)'!$G$2:$G$1222,"Sudan", 'Mediation Dataset (Sudans)'!$U$2:$U$1222,"=1")</f>
        <v>5</v>
      </c>
      <c r="Q52" s="45">
        <f>COUNTIFS('Mediation Dataset (Sudans)'!$G$2:$G$1222,"Sudan", 'Mediation Dataset (Sudans)'!$V$2:$V$1222,"=1")</f>
        <v>4</v>
      </c>
    </row>
    <row r="53" spans="4:17">
      <c r="D53" s="55" t="s">
        <v>246</v>
      </c>
      <c r="E53" s="53">
        <f>COUNTIFS('Mediation Dataset (Sudans)'!$G$2:$G$1222,"South Sudanese Church Leaders", 'Mediation Dataset (Sudans)'!$K$2:$K$1222,"S")</f>
        <v>0</v>
      </c>
      <c r="F53" s="53">
        <f>COUNTIFS('Mediation Dataset (Sudans)'!$G$2:$G$1222,"South Sudanese Church Leaders", 'Mediation Dataset (Sudans)'!$K$2:$K$1222,"G")</f>
        <v>0</v>
      </c>
      <c r="G53" s="53"/>
      <c r="I53" s="46" t="s">
        <v>246</v>
      </c>
      <c r="J53" s="45">
        <f>COUNTIFS('Mediation Dataset (Sudans)'!$G$2:$G$1222,"South Sudanese Church Leaders", 'Mediation Dataset (Sudans)'!$O$2:$O$1222,"=1")</f>
        <v>0</v>
      </c>
      <c r="K53" s="45">
        <f>COUNTIFS('Mediation Dataset (Sudans)'!$G$2:$G$1222,"South Sudanese Church Leaders", 'Mediation Dataset (Sudans)'!$P$2:$P$1222,"=1")</f>
        <v>1</v>
      </c>
      <c r="L53" s="45"/>
      <c r="M53" s="45"/>
      <c r="N53" s="45"/>
      <c r="O53" s="45"/>
      <c r="P53" s="45"/>
      <c r="Q53" s="45"/>
    </row>
    <row r="54" spans="4:17">
      <c r="D54" s="55" t="s">
        <v>229</v>
      </c>
      <c r="E54" s="53">
        <f>COUNTIFS('Mediation Dataset (Sudans)'!$G$2:$G$1222,"Tanzania", 'Mediation Dataset (Sudans)'!$K$2:$K$1222,"S")</f>
        <v>1</v>
      </c>
      <c r="F54" s="53">
        <f>COUNTIFS('Mediation Dataset (Sudans)'!$G$2:$G$1222,"Tanzania", 'Mediation Dataset (Sudans)'!$K$2:$K$1222,"G")</f>
        <v>0</v>
      </c>
      <c r="G54" s="53"/>
      <c r="I54" s="46" t="s">
        <v>229</v>
      </c>
      <c r="J54" s="45">
        <f>COUNTIFS('Mediation Dataset (Sudans)'!$G$2:$G$1222,"Tanzania", 'Mediation Dataset (Sudans)'!$O$2:$O$1222,"=1")</f>
        <v>0</v>
      </c>
      <c r="K54" s="45">
        <f>COUNTIFS('Mediation Dataset (Sudans)'!$G$2:$G$1222,"Tanzania", 'Mediation Dataset (Sudans)'!$P$2:$P$1222,"=1")</f>
        <v>1</v>
      </c>
      <c r="L54" s="45"/>
      <c r="M54" s="45"/>
      <c r="N54" s="45"/>
      <c r="O54" s="45"/>
      <c r="P54" s="45"/>
      <c r="Q54" s="45"/>
    </row>
    <row r="55" spans="4:17">
      <c r="D55" s="55" t="s">
        <v>249</v>
      </c>
      <c r="E55" s="53">
        <f>COUNTIFS('Mediation Dataset (Sudans)'!$G$2:$G$1222,"China", 'Mediation Dataset (Sudans)'!$K$2:$K$1222,"S")</f>
        <v>1</v>
      </c>
      <c r="F55" s="53">
        <f>COUNTIFS('Mediation Dataset (Sudans)'!$G$2:$G$1222,"China", 'Mediation Dataset (Sudans)'!$K$2:$K$1222,"G")</f>
        <v>9</v>
      </c>
      <c r="G55" s="53"/>
      <c r="I55" s="46" t="s">
        <v>249</v>
      </c>
      <c r="J55" s="45">
        <f>COUNTIFS('Mediation Dataset (Sudans)'!$G$2:$G$1222,"China", 'Mediation Dataset (Sudans)'!$O$2:$O$1222,"=1")</f>
        <v>1</v>
      </c>
      <c r="K55" s="45">
        <f>COUNTIFS('Mediation Dataset (Sudans)'!$G$2:$G$1222,"China", 'Mediation Dataset (Sudans)'!$P$2:$P$1222,"=1")</f>
        <v>2</v>
      </c>
      <c r="L55" s="45">
        <f>COUNTIFS('Mediation Dataset (Sudans)'!$G$2:$G$1222,"China", 'Mediation Dataset (Sudans)'!$Q$2:$Q$1222,"=1")</f>
        <v>0</v>
      </c>
      <c r="M55" s="45">
        <f>COUNTIFS('Mediation Dataset (Sudans)'!$G$2:$G$1222,"China", 'Mediation Dataset (Sudans)'!$R$2:$R$1222,"=1")</f>
        <v>6</v>
      </c>
      <c r="N55" s="45">
        <f>COUNTIFS('Mediation Dataset (Sudans)'!$G$2:$G$1222,"China", 'Mediation Dataset (Sudans)'!$S$2:$S$1222,"=1")</f>
        <v>2</v>
      </c>
      <c r="O55" s="45">
        <f>COUNTIFS('Mediation Dataset (Sudans)'!$G$2:$G$1222,"China", 'Mediation Dataset (Sudans)'!$T$2:$T$1222,"=1")</f>
        <v>2</v>
      </c>
      <c r="P55" s="45">
        <f>COUNTIFS('Mediation Dataset (Sudans)'!$G$2:$G$1222,"China", 'Mediation Dataset (Sudans)'!$U$2:$U$1222,"=1")</f>
        <v>5</v>
      </c>
      <c r="Q55" s="45">
        <f>COUNTIFS('Mediation Dataset (Sudans)'!$G$2:$G$1222,"China", 'Mediation Dataset (Sudans)'!$V$2:$V$1222,"=1")</f>
        <v>2</v>
      </c>
    </row>
    <row r="56" spans="4:17">
      <c r="D56" s="55" t="s">
        <v>484</v>
      </c>
      <c r="E56" s="53">
        <f>COUNTIFS('Mediation Dataset (Sudans)'!$G$2:$G$1222,"Djibouti", 'Mediation Dataset (Sudans)'!$K$2:$K$1222,"S")</f>
        <v>0</v>
      </c>
      <c r="F56" s="53">
        <f>COUNTIFS('Mediation Dataset (Sudans)'!$G$2:$G$1222,"Djibouti", 'Mediation Dataset (Sudans)'!$K$2:$K$1222,"G")</f>
        <v>3</v>
      </c>
      <c r="G56" s="53"/>
      <c r="I56" s="46" t="s">
        <v>484</v>
      </c>
      <c r="J56" s="45">
        <f>COUNTIFS('Mediation Dataset (Sudans)'!$G$2:$G$1222,"Djibouti", 'Mediation Dataset (Sudans)'!$O$2:$O$1222,"=1")</f>
        <v>1</v>
      </c>
      <c r="K56" s="45">
        <f>COUNTIFS('Mediation Dataset (Sudans)'!$G$2:$G$1222,"Djibouti", 'Mediation Dataset (Sudans)'!$P$2:$P$1222,"=1")</f>
        <v>1</v>
      </c>
      <c r="L56" s="45">
        <f>COUNTIFS('Mediation Dataset (Sudans)'!$G$2:$G$1222,"Djibouti", 'Mediation Dataset (Sudans)'!$Q$2:$Q$1222,"=1")</f>
        <v>0</v>
      </c>
      <c r="M56" s="45">
        <f>COUNTIFS('Mediation Dataset (Sudans)'!$G$2:$G$1222,"Djibouti", 'Mediation Dataset (Sudans)'!$R$2:$R$1222,"=1")</f>
        <v>3</v>
      </c>
      <c r="N56" s="45">
        <f>COUNTIFS('Mediation Dataset (Sudans)'!$G$2:$G$1222,"Djibouti", 'Mediation Dataset (Sudans)'!$S$2:$S$1222,"=1")</f>
        <v>1</v>
      </c>
      <c r="O56" s="45">
        <f>COUNTIFS('Mediation Dataset (Sudans)'!$G$2:$G$1222,"Djibouti", 'Mediation Dataset (Sudans)'!$T$2:$T$1222,"=1")</f>
        <v>0</v>
      </c>
      <c r="P56" s="45">
        <f>COUNTIFS('Mediation Dataset (Sudans)'!$G$2:$G$1222,"Djibouti", 'Mediation Dataset (Sudans)'!$U$2:$U$1222,"=1")</f>
        <v>2</v>
      </c>
      <c r="Q56" s="45">
        <f>COUNTIFS('Mediation Dataset (Sudans)'!$G$2:$G$1222,"Djibouti", 'Mediation Dataset (Sudans)'!$V$2:$V$1222,"=1")</f>
        <v>2</v>
      </c>
    </row>
    <row r="57" spans="4:17">
      <c r="D57" s="55" t="s">
        <v>485</v>
      </c>
      <c r="E57" s="53">
        <f>COUNTIFS('Mediation Dataset (Sudans)'!$G$2:$G$1222,"Somalia", 'Mediation Dataset (Sudans)'!$K$2:$K$1222,"S")</f>
        <v>0</v>
      </c>
      <c r="F57" s="53">
        <f>COUNTIFS('Mediation Dataset (Sudans)'!$G$2:$G$1222,"Somalia", 'Mediation Dataset (Sudans)'!$K$2:$K$1222,"G")</f>
        <v>2</v>
      </c>
      <c r="G57" s="53"/>
      <c r="I57" s="46" t="s">
        <v>485</v>
      </c>
      <c r="J57" s="45">
        <f>COUNTIFS('Mediation Dataset (Sudans)'!$G$2:$G$1222,"Somalia", 'Mediation Dataset (Sudans)'!$O$2:$O$1222,"=1")</f>
        <v>0</v>
      </c>
      <c r="K57" s="45">
        <f>COUNTIFS('Mediation Dataset (Sudans)'!$G$2:$G$1222,"Somalia", 'Mediation Dataset (Sudans)'!$P$2:$P$1222,"=1")</f>
        <v>1</v>
      </c>
      <c r="L57" s="45">
        <f>COUNTIFS('Mediation Dataset (Sudans)'!$G$2:$G$1222,"Somalia", 'Mediation Dataset (Sudans)'!$Q$2:$Q$1222,"=1")</f>
        <v>0</v>
      </c>
      <c r="M57" s="45">
        <f>COUNTIFS('Mediation Dataset (Sudans)'!$G$2:$G$1222,"Somalia", 'Mediation Dataset (Sudans)'!$R$2:$R$1222,"=1")</f>
        <v>3</v>
      </c>
      <c r="N57" s="45">
        <f>COUNTIFS('Mediation Dataset (Sudans)'!$G$2:$G$1222,"Somalia", 'Mediation Dataset (Sudans)'!$S$2:$S$1222,"=1")</f>
        <v>1</v>
      </c>
      <c r="O57" s="45">
        <f>COUNTIFS('Mediation Dataset (Sudans)'!$G$2:$G$1222,"Somalia", 'Mediation Dataset (Sudans)'!$T$2:$T$1222,"=1")</f>
        <v>0</v>
      </c>
      <c r="P57" s="45">
        <f>COUNTIFS('Mediation Dataset (Sudans)'!$G$2:$G$1222,"Somalia", 'Mediation Dataset (Sudans)'!$U$2:$U$1222,"=1")</f>
        <v>2</v>
      </c>
      <c r="Q57" s="45">
        <f>COUNTIFS('Mediation Dataset (Sudans)'!$G$2:$G$1222,"Somalia", 'Mediation Dataset (Sudans)'!$V$2:$V$1222,"=1")</f>
        <v>1</v>
      </c>
    </row>
    <row r="58" spans="4:17">
      <c r="D58" s="55" t="s">
        <v>482</v>
      </c>
      <c r="E58" s="53">
        <f>COUNTIFS('Mediation Dataset (Sudans)'!$G$2:$G$1222,"Rwanda", 'Mediation Dataset (Sudans)'!$K$2:$K$1222,"S")</f>
        <v>0</v>
      </c>
      <c r="F58" s="53">
        <f>COUNTIFS('Mediation Dataset (Sudans)'!$G$2:$G$1222,"Rwanda", 'Mediation Dataset (Sudans)'!$K$2:$K$1222,"G")</f>
        <v>3</v>
      </c>
      <c r="G58" s="53"/>
      <c r="I58" s="46" t="s">
        <v>482</v>
      </c>
      <c r="J58" s="45">
        <f>COUNTIFS('Mediation Dataset (Sudans)'!$G$2:$G$1222,"Rwanda", 'Mediation Dataset (Sudans)'!$O$2:$O$1222,"=1")</f>
        <v>1</v>
      </c>
      <c r="K58" s="45">
        <f>COUNTIFS('Mediation Dataset (Sudans)'!$G$2:$G$1222,"Rwanda", 'Mediation Dataset (Sudans)'!$P$2:$P$1222,"=1")</f>
        <v>0</v>
      </c>
      <c r="L58" s="45">
        <f>COUNTIFS('Mediation Dataset (Sudans)'!$G$2:$G$1222,"Rwanda", 'Mediation Dataset (Sudans)'!$Q$2:$Q$1222,"=1")</f>
        <v>0</v>
      </c>
      <c r="M58" s="45">
        <f>COUNTIFS('Mediation Dataset (Sudans)'!$G$2:$G$1222,"Rwanda", 'Mediation Dataset (Sudans)'!$R$2:$R$1222,"=1")</f>
        <v>2</v>
      </c>
      <c r="N58" s="45">
        <f>COUNTIFS('Mediation Dataset (Sudans)'!$G$2:$G$1222,"Rwanda", 'Mediation Dataset (Sudans)'!$S$2:$S$1222,"=1")</f>
        <v>0</v>
      </c>
      <c r="O58" s="45">
        <f>COUNTIFS('Mediation Dataset (Sudans)'!$G$2:$G$1222,"Rwanda", 'Mediation Dataset (Sudans)'!$T$2:$T$1222,"=1")</f>
        <v>0</v>
      </c>
      <c r="P58" s="45">
        <f>COUNTIFS('Mediation Dataset (Sudans)'!$G$2:$G$1222,"Rwanda", 'Mediation Dataset (Sudans)'!$U$2:$U$1222,"=1")</f>
        <v>3</v>
      </c>
      <c r="Q58" s="45">
        <f>COUNTIFS('Mediation Dataset (Sudans)'!$G$2:$G$1222,"Rwanda", 'Mediation Dataset (Sudans)'!$V$2:$V$1222,"=1")</f>
        <v>0</v>
      </c>
    </row>
    <row r="59" spans="4:17">
      <c r="D59" s="55" t="s">
        <v>507</v>
      </c>
      <c r="E59" s="53">
        <f>COUNTIFS('Mediation Dataset (Sudans)'!$G$2:$G$1222,"Ghana", 'Mediation Dataset (Sudans)'!$K$2:$K$1222,"S")</f>
        <v>0</v>
      </c>
      <c r="F59" s="53">
        <f>COUNTIFS('Mediation Dataset (Sudans)'!$G$2:$G$1222,"Ghana", 'Mediation Dataset (Sudans)'!$K$2:$K$1222,"G")</f>
        <v>0</v>
      </c>
      <c r="G59" s="53"/>
      <c r="I59" s="46" t="s">
        <v>507</v>
      </c>
      <c r="J59" s="45">
        <f>COUNTIFS('Mediation Dataset (Sudans)'!$G$2:$G$1222,"Ghana", 'Mediation Dataset (Sudans)'!$O$2:$O$1222,"=1")</f>
        <v>0</v>
      </c>
      <c r="K59" s="45">
        <f>COUNTIFS('Mediation Dataset (Sudans)'!$G$2:$G$1222,"Ghana", 'Mediation Dataset (Sudans)'!$P$2:$P$1222,"=1")</f>
        <v>1</v>
      </c>
      <c r="L59" s="45"/>
      <c r="M59" s="45"/>
      <c r="N59" s="45"/>
      <c r="O59" s="45"/>
      <c r="P59" s="45"/>
      <c r="Q59" s="45"/>
    </row>
    <row r="60" spans="4:17">
      <c r="D60" s="55" t="s">
        <v>965</v>
      </c>
      <c r="E60" s="53">
        <f>COUNTIFS('Mediation Dataset (Sudans)'!$G$2:$G$1222,"Community of Sant’ Egidio", 'Mediation Dataset (Sudans)'!$K$2:$K$1222,"S")</f>
        <v>0</v>
      </c>
      <c r="F60" s="53">
        <f>COUNTIFS('Mediation Dataset (Sudans)'!$G$2:$G$1222,"Community of Sant’ Egidio", 'Mediation Dataset (Sudans)'!$K$2:$K$1222,"G")</f>
        <v>1</v>
      </c>
      <c r="G60" s="53"/>
      <c r="I60" s="46" t="s">
        <v>965</v>
      </c>
      <c r="J60" s="45">
        <f>COUNTIFS('Mediation Dataset (Sudans)'!$G$2:$G$1222,"Community of Sant’ Egidio", 'Mediation Dataset (Sudans)'!$O$2:$O$1222,"=1")</f>
        <v>7</v>
      </c>
      <c r="K60" s="45">
        <f>COUNTIFS('Mediation Dataset (Sudans)'!$G$2:$G$1222,"Community of Sant’ Egidio", 'Mediation Dataset (Sudans)'!$P$2:$P$1222,"=1")</f>
        <v>9</v>
      </c>
      <c r="L60" s="45">
        <f>COUNTIFS('Mediation Dataset (Sudans)'!$G$2:$G$1222,"Community of Sant’ Egidio", 'Mediation Dataset (Sudans)'!$Q$2:$Q$1222,"=1")</f>
        <v>8</v>
      </c>
      <c r="M60" s="45">
        <f>COUNTIFS('Mediation Dataset (Sudans)'!$G$2:$G$1222,"Community of Sant’ Egidio", 'Mediation Dataset (Sudans)'!$R$2:$R$1222,"=1")</f>
        <v>3</v>
      </c>
      <c r="N60" s="45">
        <f>COUNTIFS('Mediation Dataset (Sudans)'!$G$2:$G$1222,"Community of Sant’ Egidio", 'Mediation Dataset (Sudans)'!$S$2:$S$1222,"=1")</f>
        <v>0</v>
      </c>
      <c r="O60" s="45">
        <f>COUNTIFS('Mediation Dataset (Sudans)'!$G$2:$G$1222,"Community of Sant’ Egidio", 'Mediation Dataset (Sudans)'!$T$2:$T$1222,"=1")</f>
        <v>0</v>
      </c>
      <c r="P60" s="45">
        <f>COUNTIFS('Mediation Dataset (Sudans)'!$G$2:$G$1222,"Community of Sant’ Egidio", 'Mediation Dataset (Sudans)'!$U$2:$U$1222,"=1")</f>
        <v>1</v>
      </c>
      <c r="Q60" s="45">
        <f>COUNTIFS('Mediation Dataset (Sudans)'!$G$2:$G$1222,"Community of Sant’ Egidio", 'Mediation Dataset (Sudans)'!$V$2:$V$1222,"=1")</f>
        <v>0</v>
      </c>
    </row>
    <row r="61" spans="4:17">
      <c r="D61" s="55" t="s">
        <v>252</v>
      </c>
      <c r="E61" s="53">
        <f>COUNTIFS('Mediation Dataset (Sudans)'!$G$2:$G$1222,"Berghof Foundation", 'Mediation Dataset (Sudans)'!$K$2:$K$1222,"S")</f>
        <v>0</v>
      </c>
      <c r="F61" s="53">
        <f>COUNTIFS('Mediation Dataset (Sudans)'!$G$2:$G$1222,"Berghof Foundation", 'Mediation Dataset (Sudans)'!$K$2:$K$1222,"G")</f>
        <v>3</v>
      </c>
      <c r="G61" s="53"/>
      <c r="I61" s="46" t="s">
        <v>252</v>
      </c>
      <c r="J61" s="45">
        <f>COUNTIFS('Mediation Dataset (Sudans)'!$G$2:$G$1222,"Berghof Foundation", 'Mediation Dataset (Sudans)'!$O$2:$O$1222,"=1")</f>
        <v>3</v>
      </c>
      <c r="K61" s="45">
        <f>COUNTIFS('Mediation Dataset (Sudans)'!$G$2:$G$1222,"Berghof Foundation", 'Mediation Dataset (Sudans)'!$P$2:$P$1222,"=1")</f>
        <v>0</v>
      </c>
      <c r="L61" s="45"/>
      <c r="M61" s="45"/>
      <c r="N61" s="45"/>
      <c r="O61" s="45"/>
      <c r="P61" s="45"/>
      <c r="Q61" s="45"/>
    </row>
    <row r="62" spans="4:17">
      <c r="D62" s="55" t="s">
        <v>671</v>
      </c>
      <c r="E62" s="53">
        <f>COUNTIFS('Mediation Dataset (Sudans)'!$G$2:$G$1222,"Ireland", 'Mediation Dataset (Sudans)'!$K$2:$K$1222,"S")</f>
        <v>0</v>
      </c>
      <c r="F62" s="53">
        <f>COUNTIFS('Mediation Dataset (Sudans)'!$G$2:$G$1222,"Ireland", 'Mediation Dataset (Sudans)'!$K$2:$K$1222,"G")</f>
        <v>4</v>
      </c>
      <c r="G62" s="53"/>
      <c r="I62" s="46" t="s">
        <v>671</v>
      </c>
      <c r="J62" s="45">
        <f>COUNTIFS('Mediation Dataset (Sudans)'!$G$2:$G$1222,"Ireland", 'Mediation Dataset (Sudans)'!$O$2:$O$1222,"=1")</f>
        <v>0</v>
      </c>
      <c r="K62" s="45">
        <f>COUNTIFS('Mediation Dataset (Sudans)'!$G$2:$G$1222,"Ireland", 'Mediation Dataset (Sudans)'!$P$2:$P$1222,"=1")</f>
        <v>0</v>
      </c>
      <c r="L62" s="45"/>
      <c r="M62" s="45"/>
      <c r="N62" s="45"/>
      <c r="O62" s="45"/>
      <c r="P62" s="45"/>
      <c r="Q62" s="45"/>
    </row>
    <row r="63" spans="4:17">
      <c r="D63" s="55" t="s">
        <v>612</v>
      </c>
      <c r="E63" s="53">
        <f>COUNTIFS('Mediation Dataset (Sudans)'!$G$2:$G$1222,"Japan", 'Mediation Dataset (Sudans)'!$K$2:$K$1222,"S")</f>
        <v>0</v>
      </c>
      <c r="F63" s="53">
        <f>COUNTIFS('Mediation Dataset (Sudans)'!$G$2:$G$1222,"Japan", 'Mediation Dataset (Sudans)'!$K$2:$K$1222,"G")</f>
        <v>5</v>
      </c>
      <c r="G63" s="53"/>
      <c r="I63" s="46" t="s">
        <v>612</v>
      </c>
      <c r="J63" s="45">
        <f>COUNTIFS('Mediation Dataset (Sudans)'!$G$2:$G$1222,"Japan", 'Mediation Dataset (Sudans)'!$O$2:$O$1222,"=1")</f>
        <v>1</v>
      </c>
      <c r="K63" s="45">
        <f>COUNTIFS('Mediation Dataset (Sudans)'!$G$2:$G$1222,"Japan", 'Mediation Dataset (Sudans)'!$P$2:$P$1222,"=1")</f>
        <v>0</v>
      </c>
      <c r="L63" s="45"/>
      <c r="M63" s="45"/>
      <c r="N63" s="45"/>
      <c r="O63" s="45"/>
      <c r="P63" s="45"/>
      <c r="Q63" s="45"/>
    </row>
    <row r="64" spans="4:17">
      <c r="D64" s="55" t="s">
        <v>615</v>
      </c>
      <c r="E64" s="53">
        <f>COUNTIFS('Mediation Dataset (Sudans)'!$G$2:$G$1222,"United Arab Emirates", 'Mediation Dataset (Sudans)'!$K$2:$K$1222,"S")</f>
        <v>2</v>
      </c>
      <c r="F64" s="53">
        <f>COUNTIFS('Mediation Dataset (Sudans)'!$G$2:$G$1222,"United Arab Emirates", 'Mediation Dataset (Sudans)'!$K$2:$K$1222,"G")</f>
        <v>7</v>
      </c>
      <c r="G64" s="53"/>
      <c r="I64" s="46" t="s">
        <v>615</v>
      </c>
      <c r="J64" s="45">
        <f>COUNTIFS('Mediation Dataset (Sudans)'!$G$2:$G$1222,"United Arab Emirates", 'Mediation Dataset (Sudans)'!$O$2:$O$1222,"=1")</f>
        <v>2</v>
      </c>
      <c r="K64" s="45">
        <f>COUNTIFS('Mediation Dataset (Sudans)'!$G$2:$G$1222,"United Arab Emirates", 'Mediation Dataset (Sudans)'!$P$2:$P$1222,"=1")</f>
        <v>1</v>
      </c>
      <c r="L64" s="45">
        <f>COUNTIFS('Mediation Dataset (Sudans)'!$G$2:$G$1222,"United Arab Emirates", 'Mediation Dataset (Sudans)'!$Q$2:$Q$1222,"=1")</f>
        <v>0</v>
      </c>
      <c r="M64" s="45">
        <f>COUNTIFS('Mediation Dataset (Sudans)'!$G$2:$G$1222,"United Arab Emirates", 'Mediation Dataset (Sudans)'!$R$2:$R$1222,"=1")</f>
        <v>5</v>
      </c>
      <c r="N64" s="45">
        <f>COUNTIFS('Mediation Dataset (Sudans)'!$G$2:$G$1222,"United Arab Emirates", 'Mediation Dataset (Sudans)'!$S$2:$S$1222,"=1")</f>
        <v>3</v>
      </c>
      <c r="O64" s="45">
        <f>COUNTIFS('Mediation Dataset (Sudans)'!$G$2:$G$1222,"United Arab Emirates", 'Mediation Dataset (Sudans)'!$T$2:$T$1222,"=1")</f>
        <v>1</v>
      </c>
      <c r="P64" s="45">
        <f>COUNTIFS('Mediation Dataset (Sudans)'!$G$2:$G$1222,"United Arab Emirates", 'Mediation Dataset (Sudans)'!$U$2:$U$1222,"=1")</f>
        <v>2</v>
      </c>
      <c r="Q64" s="45">
        <f>COUNTIFS('Mediation Dataset (Sudans)'!$G$2:$G$1222,"United Arab Emirates", 'Mediation Dataset (Sudans)'!$V$2:$V$1222,"=1")</f>
        <v>6</v>
      </c>
    </row>
    <row r="65" spans="4:17">
      <c r="D65" s="55" t="s">
        <v>18</v>
      </c>
      <c r="E65" s="53">
        <f>COUNTIFS('Mediation Dataset (Sudans)'!$G$2:$G$1222,"South Sudan", 'Mediation Dataset (Sudans)'!$K$2:$K$1222,"S")</f>
        <v>13</v>
      </c>
      <c r="F65" s="53">
        <f>COUNTIFS('Mediation Dataset (Sudans)'!$G$2:$G$1222,"South Sudan", 'Mediation Dataset (Sudans)'!$K$2:$K$1222,"G")</f>
        <v>6</v>
      </c>
      <c r="G65" s="53"/>
      <c r="I65" s="46" t="s">
        <v>18</v>
      </c>
      <c r="J65" s="45">
        <f>COUNTIFS('Mediation Dataset (Sudans)'!$G$2:$G$1222,"South Sudan", 'Mediation Dataset (Sudans)'!$O$2:$O$1222,"=1")</f>
        <v>8</v>
      </c>
      <c r="K65" s="45">
        <f>COUNTIFS('Mediation Dataset (Sudans)'!$G$2:$G$1222,"South Sudan", 'Mediation Dataset (Sudans)'!$P$2:$P$1222,"=1")</f>
        <v>12</v>
      </c>
      <c r="L65" s="45">
        <f>COUNTIFS('Mediation Dataset (Sudans)'!$G$2:$G$1222,"South Sudan", 'Mediation Dataset (Sudans)'!$Q$2:$Q$1222,"=1")</f>
        <v>15</v>
      </c>
      <c r="M65" s="45">
        <f>COUNTIFS('Mediation Dataset (Sudans)'!$G$2:$G$1222,"South Sudan", 'Mediation Dataset (Sudans)'!$R$2:$R$1222,"=1")</f>
        <v>11</v>
      </c>
      <c r="N65" s="45">
        <f>COUNTIFS('Mediation Dataset (Sudans)'!$G$2:$G$1222,"South Sudan", 'Mediation Dataset (Sudans)'!$S$2:$S$1222,"=1")</f>
        <v>1</v>
      </c>
      <c r="O65" s="45">
        <f>COUNTIFS('Mediation Dataset (Sudans)'!$G$2:$G$1222,"South Sudan", 'Mediation Dataset (Sudans)'!$T$2:$T$1222,"=1")</f>
        <v>1</v>
      </c>
      <c r="P65" s="45">
        <f>COUNTIFS('Mediation Dataset (Sudans)'!$G$2:$G$1222,"South Sudan", 'Mediation Dataset (Sudans)'!$U$2:$U$1222,"=1")</f>
        <v>7</v>
      </c>
      <c r="Q65" s="45">
        <f>COUNTIFS('Mediation Dataset (Sudans)'!$G$2:$G$1222,"South Sudan", 'Mediation Dataset (Sudans)'!$V$2:$V$1222,"=1")</f>
        <v>1</v>
      </c>
    </row>
    <row r="66" spans="4:17">
      <c r="D66" s="55" t="s">
        <v>547</v>
      </c>
      <c r="E66" s="53">
        <f>COUNTIFS('Mediation Dataset (Sudans)'!$G$2:$G$1222,"ICRC", 'Mediation Dataset (Sudans)'!$K$2:$K$1222,"S")</f>
        <v>0</v>
      </c>
      <c r="F66" s="53">
        <f>COUNTIFS('Mediation Dataset (Sudans)'!$G$2:$G$1222,"ICRC", 'Mediation Dataset (Sudans)'!$K$2:$K$1222,"G")</f>
        <v>0</v>
      </c>
      <c r="G66" s="53"/>
      <c r="I66" s="46" t="s">
        <v>547</v>
      </c>
      <c r="J66" s="45">
        <f>COUNTIFS('Mediation Dataset (Sudans)'!$G$2:$G$1222,"ICRC", 'Mediation Dataset (Sudans)'!$O$2:$O$1222,"=1")</f>
        <v>0</v>
      </c>
      <c r="K66" s="45">
        <f>COUNTIFS('Mediation Dataset (Sudans)'!$G$2:$G$1222,"ICRC", 'Mediation Dataset (Sudans)'!$P$2:$P$1222,"=1")</f>
        <v>1</v>
      </c>
      <c r="L66" s="45"/>
      <c r="M66" s="45"/>
      <c r="N66" s="45"/>
      <c r="O66" s="45"/>
      <c r="P66" s="45"/>
      <c r="Q66" s="45"/>
    </row>
    <row r="67" spans="4:17">
      <c r="D67" s="55" t="s">
        <v>567</v>
      </c>
      <c r="E67" s="53">
        <f>COUNTIFS('Mediation Dataset (Sudans)'!$G$2:$G$1222,"Sweden", 'Mediation Dataset (Sudans)'!$K$2:$K$1222,"S")</f>
        <v>0</v>
      </c>
      <c r="F67" s="53">
        <f>COUNTIFS('Mediation Dataset (Sudans)'!$G$2:$G$1222,"Sweden", 'Mediation Dataset (Sudans)'!$K$2:$K$1222,"G")</f>
        <v>7</v>
      </c>
      <c r="G67" s="53"/>
      <c r="I67" s="46" t="s">
        <v>567</v>
      </c>
      <c r="J67" s="45">
        <f>COUNTIFS('Mediation Dataset (Sudans)'!$G$2:$G$1222,"Sweden", 'Mediation Dataset (Sudans)'!$O$2:$O$1222,"=1")</f>
        <v>1</v>
      </c>
      <c r="K67" s="45">
        <f>COUNTIFS('Mediation Dataset (Sudans)'!$G$2:$G$1222,"Sweden", 'Mediation Dataset (Sudans)'!$P$2:$P$1222,"=1")</f>
        <v>0</v>
      </c>
      <c r="L67" s="45"/>
      <c r="M67" s="45"/>
      <c r="N67" s="45"/>
      <c r="O67" s="45"/>
      <c r="P67" s="45"/>
      <c r="Q67" s="45"/>
    </row>
    <row r="68" spans="4:17">
      <c r="D68" s="55" t="s">
        <v>605</v>
      </c>
      <c r="E68" s="53">
        <f>COUNTIFS('Mediation Dataset (Sudans)'!$G$2:$G$1222,"ACCORD", 'Mediation Dataset (Sudans)'!$K$2:$K$1222,"S")</f>
        <v>0</v>
      </c>
      <c r="F68" s="53">
        <f>COUNTIFS('Mediation Dataset (Sudans)'!$G$2:$G$1222,"ACCORD", 'Mediation Dataset (Sudans)'!$K$2:$K$1222,"G")</f>
        <v>0</v>
      </c>
      <c r="G68" s="53"/>
      <c r="I68" s="46" t="s">
        <v>605</v>
      </c>
      <c r="J68" s="45">
        <f>COUNTIFS('Mediation Dataset (Sudans)'!$G$2:$G$1222,"ACCORD", 'Mediation Dataset (Sudans)'!$O$2:$O$1222,"=1")</f>
        <v>0</v>
      </c>
      <c r="K68" s="45">
        <f>COUNTIFS('Mediation Dataset (Sudans)'!$G$2:$G$1222,"ACCORD", 'Mediation Dataset (Sudans)'!$P$2:$P$1222,"=1")</f>
        <v>0</v>
      </c>
      <c r="L68" s="45"/>
      <c r="M68" s="45"/>
      <c r="N68" s="45"/>
      <c r="O68" s="45"/>
      <c r="P68" s="45"/>
      <c r="Q68" s="45"/>
    </row>
    <row r="69" spans="4:17">
      <c r="D69" s="55" t="s">
        <v>610</v>
      </c>
      <c r="E69" s="53">
        <f>COUNTIFS('Mediation Dataset (Sudans)'!$G$2:$G$1222,"African Development Bank", 'Mediation Dataset (Sudans)'!$K$2:$K$1222,"S")</f>
        <v>0</v>
      </c>
      <c r="F69" s="53">
        <f>COUNTIFS('Mediation Dataset (Sudans)'!$G$2:$G$1222,"African Development Bank", 'Mediation Dataset (Sudans)'!$K$2:$K$1222,"G")</f>
        <v>5</v>
      </c>
      <c r="G69" s="53"/>
      <c r="I69" s="46" t="s">
        <v>610</v>
      </c>
      <c r="J69" s="45">
        <f>COUNTIFS('Mediation Dataset (Sudans)'!$G$2:$G$1222,"African Development Bank", 'Mediation Dataset (Sudans)'!$O$2:$O$1222,"=1")</f>
        <v>1</v>
      </c>
      <c r="K69" s="45">
        <f>COUNTIFS('Mediation Dataset (Sudans)'!$G$2:$G$1222,"African Development Bank", 'Mediation Dataset (Sudans)'!$P$2:$P$1222,"=1")</f>
        <v>0</v>
      </c>
      <c r="L69" s="45"/>
      <c r="M69" s="45"/>
      <c r="N69" s="45"/>
      <c r="O69" s="45"/>
      <c r="P69" s="45"/>
      <c r="Q69" s="45"/>
    </row>
    <row r="70" spans="4:17">
      <c r="D70" s="55" t="s">
        <v>611</v>
      </c>
      <c r="E70" s="53">
        <f>COUNTIFS('Mediation Dataset (Sudans)'!$G$2:$G$1222,"Canada", 'Mediation Dataset (Sudans)'!$K$2:$K$1222,"S")</f>
        <v>0</v>
      </c>
      <c r="F70" s="53">
        <f>COUNTIFS('Mediation Dataset (Sudans)'!$G$2:$G$1222,"Canada", 'Mediation Dataset (Sudans)'!$K$2:$K$1222,"G")</f>
        <v>5</v>
      </c>
      <c r="G70" s="53"/>
      <c r="I70" s="46" t="s">
        <v>611</v>
      </c>
      <c r="J70" s="45">
        <f>COUNTIFS('Mediation Dataset (Sudans)'!$G$2:$G$1222,"Canada", 'Mediation Dataset (Sudans)'!$O$2:$O$1222,"=1")</f>
        <v>1</v>
      </c>
      <c r="K70" s="45">
        <f>COUNTIFS('Mediation Dataset (Sudans)'!$G$2:$G$1222,"Canada", 'Mediation Dataset (Sudans)'!$P$2:$P$1222,"=1")</f>
        <v>0</v>
      </c>
      <c r="L70" s="45"/>
      <c r="M70" s="45"/>
      <c r="N70" s="45"/>
      <c r="O70" s="45"/>
      <c r="P70" s="45"/>
      <c r="Q70" s="45"/>
    </row>
    <row r="71" spans="4:17">
      <c r="D71" s="55" t="s">
        <v>613</v>
      </c>
      <c r="E71" s="53">
        <f>COUNTIFS('Mediation Dataset (Sudans)'!$G$2:$G$1222,"Kuwait", 'Mediation Dataset (Sudans)'!$K$2:$K$1222,"S")</f>
        <v>0</v>
      </c>
      <c r="F71" s="53">
        <f>COUNTIFS('Mediation Dataset (Sudans)'!$G$2:$G$1222,"Kuwait", 'Mediation Dataset (Sudans)'!$K$2:$K$1222,"G")</f>
        <v>4</v>
      </c>
      <c r="G71" s="53"/>
      <c r="I71" s="46" t="s">
        <v>613</v>
      </c>
      <c r="J71" s="45">
        <f>COUNTIFS('Mediation Dataset (Sudans)'!$G$2:$G$1222,"Kuwait", 'Mediation Dataset (Sudans)'!$O$2:$O$1222,"=1")</f>
        <v>1</v>
      </c>
      <c r="K71" s="45">
        <f>COUNTIFS('Mediation Dataset (Sudans)'!$G$2:$G$1222,"Kuwait", 'Mediation Dataset (Sudans)'!$P$2:$P$1222,"=1")</f>
        <v>0</v>
      </c>
      <c r="L71" s="45">
        <f>COUNTIFS('Mediation Dataset (Sudans)'!$G$2:$G$1222,"Kuwait", 'Mediation Dataset (Sudans)'!$Q$2:$Q$1222,"=1")</f>
        <v>0</v>
      </c>
      <c r="M71" s="45">
        <f>COUNTIFS('Mediation Dataset (Sudans)'!$G$2:$G$1222,"Kuwait", 'Mediation Dataset (Sudans)'!$R$2:$R$1222,"=1")</f>
        <v>4</v>
      </c>
      <c r="N71" s="45">
        <f>COUNTIFS('Mediation Dataset (Sudans)'!$G$2:$G$1222,"Kuwait", 'Mediation Dataset (Sudans)'!$S$2:$S$1222,"=1")</f>
        <v>0</v>
      </c>
      <c r="O71" s="45">
        <f>COUNTIFS('Mediation Dataset (Sudans)'!$G$2:$G$1222,"Kuwait", 'Mediation Dataset (Sudans)'!$T$2:$T$1222,"=1")</f>
        <v>1</v>
      </c>
      <c r="P71" s="45">
        <f>COUNTIFS('Mediation Dataset (Sudans)'!$G$2:$G$1222,"Kuwait", 'Mediation Dataset (Sudans)'!$U$2:$U$1222,"=1")</f>
        <v>2</v>
      </c>
      <c r="Q71" s="45">
        <f>COUNTIFS('Mediation Dataset (Sudans)'!$G$2:$G$1222,"Kuwait", 'Mediation Dataset (Sudans)'!$V$2:$V$1222,"=1")</f>
        <v>1</v>
      </c>
    </row>
    <row r="72" spans="4:17">
      <c r="D72" s="55" t="s">
        <v>377</v>
      </c>
      <c r="E72" s="53">
        <f>COUNTIFS('Mediation Dataset (Sudans)'!$G$2:$G$1222,"The Netherlands", 'Mediation Dataset (Sudans)'!$K$2:$K$1222,"S")</f>
        <v>0</v>
      </c>
      <c r="F72" s="53">
        <f>COUNTIFS('Mediation Dataset (Sudans)'!$G$2:$G$1222,"The Netherlands", 'Mediation Dataset (Sudans)'!$K$2:$K$1222,"G")</f>
        <v>0</v>
      </c>
      <c r="G72" s="53"/>
      <c r="I72" s="46" t="s">
        <v>377</v>
      </c>
      <c r="J72" s="45">
        <f>COUNTIFS('Mediation Dataset (Sudans)'!$G$2:$G$1222,"The Netherlands", 'Mediation Dataset (Sudans)'!$O$2:$O$1222,"=1")</f>
        <v>0</v>
      </c>
      <c r="K72" s="45">
        <f>COUNTIFS('Mediation Dataset (Sudans)'!$G$2:$G$1222,"The Netherlands", 'Mediation Dataset (Sudans)'!$P$2:$P$1222,"=1")</f>
        <v>0</v>
      </c>
      <c r="L72" s="45"/>
      <c r="M72" s="45"/>
      <c r="N72" s="45"/>
      <c r="O72" s="45"/>
      <c r="P72" s="45"/>
      <c r="Q72" s="45"/>
    </row>
    <row r="73" spans="4:17">
      <c r="D73" s="55" t="s">
        <v>616</v>
      </c>
      <c r="E73" s="53">
        <f>COUNTIFS('Mediation Dataset (Sudans)'!$G$2:$G$1222,"World Bank", 'Mediation Dataset (Sudans)'!$K$2:$K$1222,"S")</f>
        <v>0</v>
      </c>
      <c r="F73" s="53">
        <f>COUNTIFS('Mediation Dataset (Sudans)'!$G$2:$G$1222,"World Bank", 'Mediation Dataset (Sudans)'!$K$2:$K$1222,"G")</f>
        <v>4</v>
      </c>
      <c r="G73" s="53"/>
      <c r="I73" s="46" t="s">
        <v>616</v>
      </c>
      <c r="J73" s="45">
        <f>COUNTIFS('Mediation Dataset (Sudans)'!$G$2:$G$1222,"World Bank", 'Mediation Dataset (Sudans)'!$O$2:$O$1222,"=1")</f>
        <v>1</v>
      </c>
      <c r="K73" s="45">
        <f>COUNTIFS('Mediation Dataset (Sudans)'!$G$2:$G$1222,"World Bank", 'Mediation Dataset (Sudans)'!$P$2:$P$1222,"=1")</f>
        <v>0</v>
      </c>
      <c r="L73" s="45"/>
      <c r="M73" s="45"/>
      <c r="N73" s="45"/>
      <c r="O73" s="45"/>
      <c r="P73" s="45"/>
      <c r="Q73" s="45"/>
    </row>
    <row r="74" spans="4:17">
      <c r="D74" s="55" t="s">
        <v>663</v>
      </c>
      <c r="E74" s="53">
        <f>COUNTIFS('Mediation Dataset (Sudans)'!$G$2:$G$1222,"Belgium", 'Mediation Dataset (Sudans)'!$K$2:$K$1222,"S")</f>
        <v>0</v>
      </c>
      <c r="F74" s="53">
        <f>COUNTIFS('Mediation Dataset (Sudans)'!$G$2:$G$1222,"Belgium", 'Mediation Dataset (Sudans)'!$K$2:$K$1222,"G")</f>
        <v>2</v>
      </c>
      <c r="G74" s="53"/>
      <c r="I74" s="46" t="s">
        <v>663</v>
      </c>
      <c r="J74" s="45">
        <f>COUNTIFS('Mediation Dataset (Sudans)'!$G$2:$G$1222,"Belgium", 'Mediation Dataset (Sudans)'!$O$2:$O$1222,"=1")</f>
        <v>0</v>
      </c>
      <c r="K74" s="45">
        <f>COUNTIFS('Mediation Dataset (Sudans)'!$G$2:$G$1222,"Belgium", 'Mediation Dataset (Sudans)'!$P$2:$P$1222,"=1")</f>
        <v>0</v>
      </c>
      <c r="L74" s="45"/>
      <c r="M74" s="45"/>
      <c r="N74" s="45"/>
      <c r="O74" s="45"/>
      <c r="P74" s="45"/>
      <c r="Q74" s="45"/>
    </row>
    <row r="75" spans="4:17">
      <c r="D75" s="55" t="s">
        <v>664</v>
      </c>
      <c r="E75" s="53">
        <f>COUNTIFS('Mediation Dataset (Sudans)'!$G$2:$G$1222,"Croatia", 'Mediation Dataset (Sudans)'!$K$2:$K$1222,"S")</f>
        <v>0</v>
      </c>
      <c r="F75" s="53">
        <f>COUNTIFS('Mediation Dataset (Sudans)'!$G$2:$G$1222,"Croatia", 'Mediation Dataset (Sudans)'!$K$2:$K$1222,"G")</f>
        <v>2</v>
      </c>
      <c r="G75" s="53"/>
      <c r="I75" s="46" t="s">
        <v>664</v>
      </c>
      <c r="J75" s="45">
        <f>COUNTIFS('Mediation Dataset (Sudans)'!$G$2:$G$1222,"Croatia", 'Mediation Dataset (Sudans)'!$O$2:$O$1222,"=1")</f>
        <v>0</v>
      </c>
      <c r="K75" s="45">
        <f>COUNTIFS('Mediation Dataset (Sudans)'!$G$2:$G$1222,"Croatia", 'Mediation Dataset (Sudans)'!$P$2:$P$1222,"=1")</f>
        <v>0</v>
      </c>
      <c r="L75" s="45"/>
      <c r="M75" s="45"/>
      <c r="N75" s="45"/>
      <c r="O75" s="45"/>
      <c r="P75" s="45"/>
      <c r="Q75" s="45"/>
    </row>
    <row r="76" spans="4:17">
      <c r="D76" s="55" t="s">
        <v>665</v>
      </c>
      <c r="E76" s="53">
        <f>COUNTIFS('Mediation Dataset (Sudans)'!$G$2:$G$1222,"Czechia", 'Mediation Dataset (Sudans)'!$K$2:$K$1222,"S")</f>
        <v>0</v>
      </c>
      <c r="F76" s="53">
        <f>COUNTIFS('Mediation Dataset (Sudans)'!$G$2:$G$1222,"Czechia", 'Mediation Dataset (Sudans)'!$K$2:$K$1222,"G")</f>
        <v>2</v>
      </c>
      <c r="G76" s="53"/>
      <c r="I76" s="46" t="s">
        <v>665</v>
      </c>
      <c r="J76" s="45">
        <f>COUNTIFS('Mediation Dataset (Sudans)'!$G$2:$G$1222,"Czechia", 'Mediation Dataset (Sudans)'!$O$2:$O$1222,"=1")</f>
        <v>0</v>
      </c>
      <c r="K76" s="45">
        <f>COUNTIFS('Mediation Dataset (Sudans)'!$G$2:$G$1222,"Czechia", 'Mediation Dataset (Sudans)'!$P$2:$P$1222,"=1")</f>
        <v>0</v>
      </c>
      <c r="L76" s="45"/>
      <c r="M76" s="45"/>
      <c r="N76" s="45"/>
      <c r="O76" s="45"/>
      <c r="P76" s="45"/>
      <c r="Q76" s="45"/>
    </row>
    <row r="77" spans="4:17">
      <c r="D77" s="55" t="s">
        <v>666</v>
      </c>
      <c r="E77" s="53">
        <f>COUNTIFS('Mediation Dataset (Sudans)'!$G$2:$G$1222,"Denmark", 'Mediation Dataset (Sudans)'!$K$2:$K$1222,"S")</f>
        <v>0</v>
      </c>
      <c r="F77" s="53">
        <f>COUNTIFS('Mediation Dataset (Sudans)'!$G$2:$G$1222,"Denmark", 'Mediation Dataset (Sudans)'!$K$2:$K$1222,"G")</f>
        <v>2</v>
      </c>
      <c r="G77" s="53"/>
      <c r="I77" s="46" t="s">
        <v>666</v>
      </c>
      <c r="J77" s="45">
        <f>COUNTIFS('Mediation Dataset (Sudans)'!$G$2:$G$1222,"Denmark", 'Mediation Dataset (Sudans)'!$O$2:$O$1222,"=1")</f>
        <v>0</v>
      </c>
      <c r="K77" s="45">
        <f>COUNTIFS('Mediation Dataset (Sudans)'!$G$2:$G$1222,"Denmark", 'Mediation Dataset (Sudans)'!$P$2:$P$1222,"=1")</f>
        <v>0</v>
      </c>
      <c r="L77" s="45"/>
      <c r="M77" s="45"/>
      <c r="N77" s="45"/>
      <c r="O77" s="45"/>
      <c r="P77" s="45"/>
      <c r="Q77" s="45"/>
    </row>
    <row r="78" spans="4:17">
      <c r="D78" s="55" t="s">
        <v>667</v>
      </c>
      <c r="E78" s="53">
        <f>COUNTIFS('Mediation Dataset (Sudans)'!$G$2:$G$1222,"Estonia", 'Mediation Dataset (Sudans)'!$K$2:$K$1222,"S")</f>
        <v>0</v>
      </c>
      <c r="F78" s="53">
        <f>COUNTIFS('Mediation Dataset (Sudans)'!$G$2:$G$1222,"Estonia", 'Mediation Dataset (Sudans)'!$K$2:$K$1222,"G")</f>
        <v>2</v>
      </c>
      <c r="G78" s="53"/>
      <c r="I78" s="46" t="s">
        <v>667</v>
      </c>
      <c r="J78" s="45">
        <f>COUNTIFS('Mediation Dataset (Sudans)'!$G$2:$G$1222,"Estonia", 'Mediation Dataset (Sudans)'!$O$2:$O$1222,"=1")</f>
        <v>0</v>
      </c>
      <c r="K78" s="45">
        <f>COUNTIFS('Mediation Dataset (Sudans)'!$G$2:$G$1222,"Estonia", 'Mediation Dataset (Sudans)'!$P$2:$P$1222,"=1")</f>
        <v>0</v>
      </c>
      <c r="L78" s="45"/>
      <c r="M78" s="45"/>
      <c r="N78" s="45"/>
      <c r="O78" s="45"/>
      <c r="P78" s="45"/>
      <c r="Q78" s="45"/>
    </row>
    <row r="79" spans="4:17">
      <c r="D79" s="55" t="s">
        <v>668</v>
      </c>
      <c r="E79" s="53">
        <f>COUNTIFS('Mediation Dataset (Sudans)'!$G$2:$G$1222,"Finland", 'Mediation Dataset (Sudans)'!$K$2:$K$1222,"S")</f>
        <v>0</v>
      </c>
      <c r="F79" s="53">
        <f>COUNTIFS('Mediation Dataset (Sudans)'!$G$2:$G$1222,"Finland", 'Mediation Dataset (Sudans)'!$K$2:$K$1222,"G")</f>
        <v>2</v>
      </c>
      <c r="G79" s="53"/>
      <c r="I79" s="46" t="s">
        <v>668</v>
      </c>
      <c r="J79" s="45">
        <f>COUNTIFS('Mediation Dataset (Sudans)'!$G$2:$G$1222,"Finland", 'Mediation Dataset (Sudans)'!$O$2:$O$1222,"=1")</f>
        <v>0</v>
      </c>
      <c r="K79" s="45">
        <f>COUNTIFS('Mediation Dataset (Sudans)'!$G$2:$G$1222,"Finland", 'Mediation Dataset (Sudans)'!$P$2:$P$1222,"=1")</f>
        <v>0</v>
      </c>
      <c r="L79" s="45"/>
      <c r="M79" s="45"/>
      <c r="N79" s="45"/>
      <c r="O79" s="45"/>
      <c r="P79" s="45"/>
      <c r="Q79" s="45"/>
    </row>
    <row r="80" spans="4:17">
      <c r="D80" s="55" t="s">
        <v>669</v>
      </c>
      <c r="E80" s="53">
        <f>COUNTIFS('Mediation Dataset (Sudans)'!$G$2:$G$1222,"Greece", 'Mediation Dataset (Sudans)'!$K$2:$K$1222,"S")</f>
        <v>0</v>
      </c>
      <c r="F80" s="53">
        <f>COUNTIFS('Mediation Dataset (Sudans)'!$G$2:$G$1222,"Greece", 'Mediation Dataset (Sudans)'!$K$2:$K$1222,"G")</f>
        <v>2</v>
      </c>
      <c r="G80" s="53"/>
      <c r="I80" s="46" t="s">
        <v>669</v>
      </c>
      <c r="J80" s="45">
        <f>COUNTIFS('Mediation Dataset (Sudans)'!$G$2:$G$1222,"Greece", 'Mediation Dataset (Sudans)'!$O$2:$O$1222,"=1")</f>
        <v>0</v>
      </c>
      <c r="K80" s="45">
        <f>COUNTIFS('Mediation Dataset (Sudans)'!$G$2:$G$1222,"Greece", 'Mediation Dataset (Sudans)'!$P$2:$P$1222,"=1")</f>
        <v>0</v>
      </c>
      <c r="L80" s="45"/>
      <c r="M80" s="45"/>
      <c r="N80" s="45"/>
      <c r="O80" s="45"/>
      <c r="P80" s="45"/>
      <c r="Q80" s="45"/>
    </row>
    <row r="81" spans="4:17">
      <c r="D81" s="55" t="s">
        <v>670</v>
      </c>
      <c r="E81" s="53">
        <f>COUNTIFS('Mediation Dataset (Sudans)'!$G$2:$G$1222,"Hungary", 'Mediation Dataset (Sudans)'!$K$2:$K$1222,"S")</f>
        <v>0</v>
      </c>
      <c r="F81" s="53">
        <f>COUNTIFS('Mediation Dataset (Sudans)'!$G$2:$G$1222,"Hungary", 'Mediation Dataset (Sudans)'!$K$2:$K$1222,"G")</f>
        <v>2</v>
      </c>
      <c r="G81" s="53"/>
      <c r="I81" s="46" t="s">
        <v>670</v>
      </c>
      <c r="J81" s="45">
        <f>COUNTIFS('Mediation Dataset (Sudans)'!$G$2:$G$1222,"Hungary", 'Mediation Dataset (Sudans)'!$O$2:$O$1222,"=1")</f>
        <v>0</v>
      </c>
      <c r="K81" s="45">
        <f>COUNTIFS('Mediation Dataset (Sudans)'!$G$2:$G$1222,"Hungary", 'Mediation Dataset (Sudans)'!$P$2:$P$1222,"=1")</f>
        <v>0</v>
      </c>
      <c r="L81" s="45"/>
      <c r="M81" s="45"/>
      <c r="N81" s="45"/>
      <c r="O81" s="45"/>
      <c r="P81" s="45"/>
      <c r="Q81" s="45"/>
    </row>
    <row r="82" spans="4:17">
      <c r="D82" s="55" t="s">
        <v>672</v>
      </c>
      <c r="E82" s="53">
        <f>COUNTIFS('Mediation Dataset (Sudans)'!$G$2:$G$1222,"Lithuania", 'Mediation Dataset (Sudans)'!$K$2:$K$1222,"S")</f>
        <v>0</v>
      </c>
      <c r="F82" s="53">
        <f>COUNTIFS('Mediation Dataset (Sudans)'!$G$2:$G$1222,"Lithuania", 'Mediation Dataset (Sudans)'!$K$2:$K$1222,"G")</f>
        <v>2</v>
      </c>
      <c r="G82" s="53"/>
      <c r="I82" s="46" t="s">
        <v>672</v>
      </c>
      <c r="J82" s="45">
        <f>COUNTIFS('Mediation Dataset (Sudans)'!$G$2:$G$1222,"Lithuania", 'Mediation Dataset (Sudans)'!$O$2:$O$1222,"=1")</f>
        <v>0</v>
      </c>
      <c r="K82" s="45">
        <f>COUNTIFS('Mediation Dataset (Sudans)'!$G$2:$G$1222,"Lithuania", 'Mediation Dataset (Sudans)'!$P$2:$P$1222,"=1")</f>
        <v>0</v>
      </c>
      <c r="L82" s="45"/>
      <c r="M82" s="45"/>
      <c r="N82" s="45"/>
      <c r="O82" s="45"/>
      <c r="P82" s="45"/>
      <c r="Q82" s="45"/>
    </row>
    <row r="83" spans="4:17">
      <c r="D83" s="55" t="s">
        <v>673</v>
      </c>
      <c r="E83" s="53">
        <f>COUNTIFS('Mediation Dataset (Sudans)'!$G$2:$G$1222,"Malta", 'Mediation Dataset (Sudans)'!$K$2:$K$1222,"S")</f>
        <v>0</v>
      </c>
      <c r="F83" s="53">
        <f>COUNTIFS('Mediation Dataset (Sudans)'!$G$2:$G$1222,"Malta", 'Mediation Dataset (Sudans)'!$K$2:$K$1222,"G")</f>
        <v>2</v>
      </c>
      <c r="G83" s="53"/>
      <c r="I83" s="46" t="s">
        <v>673</v>
      </c>
      <c r="J83" s="45">
        <f>COUNTIFS('Mediation Dataset (Sudans)'!$G$2:$G$1222,"Malta", 'Mediation Dataset (Sudans)'!$O$2:$O$1222,"=1")</f>
        <v>0</v>
      </c>
      <c r="K83" s="45">
        <f>COUNTIFS('Mediation Dataset (Sudans)'!$G$2:$G$1222,"Malta", 'Mediation Dataset (Sudans)'!$P$2:$P$1222,"=1")</f>
        <v>0</v>
      </c>
      <c r="L83" s="45"/>
      <c r="M83" s="45"/>
      <c r="N83" s="45"/>
      <c r="O83" s="45"/>
      <c r="P83" s="45"/>
      <c r="Q83" s="45"/>
    </row>
    <row r="84" spans="4:17">
      <c r="D84" s="55" t="s">
        <v>674</v>
      </c>
      <c r="E84" s="53">
        <f>COUNTIFS('Mediation Dataset (Sudans)'!$G$2:$G$1222,"Poland", 'Mediation Dataset (Sudans)'!$K$2:$K$1222,"S")</f>
        <v>0</v>
      </c>
      <c r="F84" s="53">
        <f>COUNTIFS('Mediation Dataset (Sudans)'!$G$2:$G$1222,"Poland", 'Mediation Dataset (Sudans)'!$K$2:$K$1222,"G")</f>
        <v>2</v>
      </c>
      <c r="G84" s="53"/>
      <c r="I84" s="46" t="s">
        <v>674</v>
      </c>
      <c r="J84" s="45">
        <f>COUNTIFS('Mediation Dataset (Sudans)'!$G$2:$G$1222,"Poland", 'Mediation Dataset (Sudans)'!$O$2:$O$1222,"=1")</f>
        <v>0</v>
      </c>
      <c r="K84" s="45">
        <f>COUNTIFS('Mediation Dataset (Sudans)'!$G$2:$G$1222,"Poland", 'Mediation Dataset (Sudans)'!$P$2:$P$1222,"=1")</f>
        <v>0</v>
      </c>
      <c r="L84" s="45"/>
      <c r="M84" s="45"/>
      <c r="N84" s="45"/>
      <c r="O84" s="45"/>
      <c r="P84" s="45"/>
      <c r="Q84" s="45"/>
    </row>
    <row r="85" spans="4:17">
      <c r="D85" s="55" t="s">
        <v>675</v>
      </c>
      <c r="E85" s="53">
        <f>COUNTIFS('Mediation Dataset (Sudans)'!$G$2:$G$1222,"Portugal", 'Mediation Dataset (Sudans)'!$K$2:$K$1222,"S")</f>
        <v>0</v>
      </c>
      <c r="F85" s="53">
        <f>COUNTIFS('Mediation Dataset (Sudans)'!$G$2:$G$1222,"Portugal", 'Mediation Dataset (Sudans)'!$K$2:$K$1222,"G")</f>
        <v>2</v>
      </c>
      <c r="G85" s="53"/>
      <c r="I85" s="46" t="s">
        <v>675</v>
      </c>
      <c r="J85" s="45">
        <f>COUNTIFS('Mediation Dataset (Sudans)'!$G$2:$G$1222,"Portugal", 'Mediation Dataset (Sudans)'!$O$2:$O$1222,"=1")</f>
        <v>0</v>
      </c>
      <c r="K85" s="45">
        <f>COUNTIFS('Mediation Dataset (Sudans)'!$G$2:$G$1222,"Portugal", 'Mediation Dataset (Sudans)'!$P$2:$P$1222,"=1")</f>
        <v>0</v>
      </c>
      <c r="L85" s="45"/>
      <c r="M85" s="45"/>
      <c r="N85" s="45"/>
      <c r="O85" s="45"/>
      <c r="P85" s="45"/>
      <c r="Q85" s="45"/>
    </row>
    <row r="86" spans="4:17">
      <c r="D86" s="55" t="s">
        <v>676</v>
      </c>
      <c r="E86" s="53">
        <f>COUNTIFS('Mediation Dataset (Sudans)'!$G$2:$G$1222,"The Republic of Korea", 'Mediation Dataset (Sudans)'!$K$2:$K$1222,"S")</f>
        <v>0</v>
      </c>
      <c r="F86" s="53">
        <f>COUNTIFS('Mediation Dataset (Sudans)'!$G$2:$G$1222,"The Republic of Korea", 'Mediation Dataset (Sudans)'!$K$2:$K$1222,"G")</f>
        <v>2</v>
      </c>
      <c r="G86" s="53"/>
      <c r="I86" s="46" t="s">
        <v>676</v>
      </c>
      <c r="J86" s="45">
        <f>COUNTIFS('Mediation Dataset (Sudans)'!$G$2:$G$1222,"The Republic of Korea", 'Mediation Dataset (Sudans)'!$O$2:$O$1222,"=1")</f>
        <v>0</v>
      </c>
      <c r="K86" s="45">
        <f>COUNTIFS('Mediation Dataset (Sudans)'!$G$2:$G$1222,"The Republic of Korea", 'Mediation Dataset (Sudans)'!$P$2:$P$1222,"=1")</f>
        <v>0</v>
      </c>
      <c r="L86" s="45"/>
      <c r="M86" s="45"/>
      <c r="N86" s="45"/>
      <c r="O86" s="45"/>
      <c r="P86" s="45"/>
      <c r="Q86" s="45"/>
    </row>
    <row r="87" spans="4:17">
      <c r="D87" s="55" t="s">
        <v>677</v>
      </c>
      <c r="E87" s="53">
        <f>COUNTIFS('Mediation Dataset (Sudans)'!$G$2:$G$1222,"Slovenia", 'Mediation Dataset (Sudans)'!$K$2:$K$1222,"S")</f>
        <v>0</v>
      </c>
      <c r="F87" s="53">
        <f>COUNTIFS('Mediation Dataset (Sudans)'!$G$2:$G$1222,"Slovenia", 'Mediation Dataset (Sudans)'!$K$2:$K$1222,"G")</f>
        <v>2</v>
      </c>
      <c r="G87" s="53"/>
      <c r="I87" s="46" t="s">
        <v>677</v>
      </c>
      <c r="J87" s="45">
        <f>COUNTIFS('Mediation Dataset (Sudans)'!$G$2:$G$1222,"Slovenia", 'Mediation Dataset (Sudans)'!$O$2:$O$1222,"=1")</f>
        <v>0</v>
      </c>
      <c r="K87" s="45">
        <f>COUNTIFS('Mediation Dataset (Sudans)'!$G$2:$G$1222,"Slovenia", 'Mediation Dataset (Sudans)'!$P$2:$P$1222,"=1")</f>
        <v>0</v>
      </c>
      <c r="L87" s="45"/>
      <c r="M87" s="45"/>
      <c r="N87" s="45"/>
      <c r="O87" s="45"/>
      <c r="P87" s="45"/>
      <c r="Q87" s="45"/>
    </row>
    <row r="88" spans="4:17">
      <c r="D88" s="55" t="s">
        <v>678</v>
      </c>
      <c r="E88" s="53">
        <f>COUNTIFS('Mediation Dataset (Sudans)'!$G$2:$G$1222,"Arab Fund for Social Development", 'Mediation Dataset (Sudans)'!$K$2:$K$1222,"S")</f>
        <v>0</v>
      </c>
      <c r="F88" s="53">
        <f>COUNTIFS('Mediation Dataset (Sudans)'!$G$2:$G$1222,"Arab Fund for Social Development", 'Mediation Dataset (Sudans)'!$K$2:$K$1222,"G")</f>
        <v>2</v>
      </c>
      <c r="G88" s="53"/>
      <c r="I88" s="46" t="s">
        <v>678</v>
      </c>
      <c r="J88" s="45">
        <f>COUNTIFS('Mediation Dataset (Sudans)'!$G$2:$G$1222,"Arab Fund for Social Development", 'Mediation Dataset (Sudans)'!$O$2:$O$1222,"=1")</f>
        <v>0</v>
      </c>
      <c r="K88" s="45">
        <f>COUNTIFS('Mediation Dataset (Sudans)'!$G$2:$G$1222,"Arab Fund for Social Development", 'Mediation Dataset (Sudans)'!$P$2:$P$1222,"=1")</f>
        <v>0</v>
      </c>
      <c r="L88" s="45"/>
      <c r="M88" s="45"/>
      <c r="N88" s="45"/>
      <c r="O88" s="45"/>
      <c r="P88" s="45"/>
      <c r="Q88" s="45"/>
    </row>
    <row r="89" spans="4:17">
      <c r="D89" s="55" t="s">
        <v>679</v>
      </c>
      <c r="E89" s="53">
        <f>COUNTIFS('Mediation Dataset (Sudans)'!$G$2:$G$1222,"IMF", 'Mediation Dataset (Sudans)'!$K$2:$K$1222,"S")</f>
        <v>0</v>
      </c>
      <c r="F89" s="53">
        <f>COUNTIFS('Mediation Dataset (Sudans)'!$G$2:$G$1222,"IMF", 'Mediation Dataset (Sudans)'!$K$2:$K$1222,"G")</f>
        <v>3</v>
      </c>
      <c r="G89" s="53"/>
      <c r="I89" s="46" t="s">
        <v>679</v>
      </c>
      <c r="J89" s="45">
        <f>COUNTIFS('Mediation Dataset (Sudans)'!$G$2:$G$1222,"IMF", 'Mediation Dataset (Sudans)'!$O$2:$O$1222,"=1")</f>
        <v>0</v>
      </c>
      <c r="K89" s="45">
        <f>COUNTIFS('Mediation Dataset (Sudans)'!$G$2:$G$1222,"IMF", 'Mediation Dataset (Sudans)'!$P$2:$P$1222,"=1")</f>
        <v>0</v>
      </c>
      <c r="L89" s="45"/>
      <c r="M89" s="45"/>
      <c r="N89" s="45"/>
      <c r="O89" s="45"/>
      <c r="P89" s="45"/>
      <c r="Q89" s="45"/>
    </row>
    <row r="90" spans="4:17">
      <c r="D90" s="55" t="s">
        <v>680</v>
      </c>
      <c r="E90" s="53">
        <f>COUNTIFS('Mediation Dataset (Sudans)'!$G$2:$G$1222,"Islamic Development Bank", 'Mediation Dataset (Sudans)'!$K$2:$K$1222,"S")</f>
        <v>0</v>
      </c>
      <c r="F90" s="53">
        <f>COUNTIFS('Mediation Dataset (Sudans)'!$G$2:$G$1222,"Islamic Development Bank", 'Mediation Dataset (Sudans)'!$K$2:$K$1222,"G")</f>
        <v>2</v>
      </c>
      <c r="G90" s="53"/>
      <c r="I90" s="46" t="s">
        <v>680</v>
      </c>
      <c r="J90" s="45">
        <f>COUNTIFS('Mediation Dataset (Sudans)'!$G$2:$G$1222,"Islamic Development Bank", 'Mediation Dataset (Sudans)'!$O$2:$O$1222,"=1")</f>
        <v>0</v>
      </c>
      <c r="K90" s="45">
        <f>COUNTIFS('Mediation Dataset (Sudans)'!$G$2:$G$1222,"Islamic Development Bank", 'Mediation Dataset (Sudans)'!$P$2:$P$1222,"=1")</f>
        <v>0</v>
      </c>
      <c r="L90" s="45"/>
      <c r="M90" s="45"/>
      <c r="N90" s="45"/>
      <c r="O90" s="45"/>
      <c r="P90" s="45"/>
      <c r="Q90" s="45"/>
    </row>
    <row r="91" spans="4:17">
      <c r="D91" s="55" t="s">
        <v>739</v>
      </c>
      <c r="E91" s="53">
        <f>COUNTIFS('Mediation Dataset (Sudans)'!$G$2:$G$1222,"The Native Administration", 'Mediation Dataset (Sudans)'!$K$2:$K$1222,"S")</f>
        <v>0</v>
      </c>
      <c r="F91" s="53">
        <f>COUNTIFS('Mediation Dataset (Sudans)'!$G$2:$G$1222,"The Native Administration", 'Mediation Dataset (Sudans)'!$K$2:$K$1222,"G")</f>
        <v>1</v>
      </c>
      <c r="G91" s="53"/>
      <c r="I91" s="46" t="s">
        <v>739</v>
      </c>
      <c r="J91" s="45">
        <f>COUNTIFS('Mediation Dataset (Sudans)'!$G$2:$G$1222,"The Native Administration", 'Mediation Dataset (Sudans)'!$O$2:$O$1222,"=1")</f>
        <v>1</v>
      </c>
      <c r="K91" s="45">
        <f>COUNTIFS('Mediation Dataset (Sudans)'!$G$2:$G$1222,"The Native Administration", 'Mediation Dataset (Sudans)'!$P$2:$P$1222,"=1")</f>
        <v>1</v>
      </c>
      <c r="L91" s="45"/>
      <c r="M91" s="45"/>
      <c r="N91" s="45"/>
      <c r="O91" s="45"/>
      <c r="P91" s="45"/>
      <c r="Q91" s="45"/>
    </row>
    <row r="92" spans="4:17">
      <c r="D92" s="55" t="s">
        <v>740</v>
      </c>
      <c r="E92" s="53">
        <f>COUNTIFS('Mediation Dataset (Sudans)'!$G$2:$G$1222,"The Peaceful Co-Existence Committee", 'Mediation Dataset (Sudans)'!$K$2:$K$1222,"S")</f>
        <v>0</v>
      </c>
      <c r="F92" s="53">
        <f>COUNTIFS('Mediation Dataset (Sudans)'!$G$2:$G$1222,"The Peaceful Co-Existence Committee", 'Mediation Dataset (Sudans)'!$K$2:$K$1222,"G")</f>
        <v>1</v>
      </c>
      <c r="G92" s="53"/>
      <c r="I92" s="46" t="s">
        <v>740</v>
      </c>
      <c r="J92" s="45">
        <f>COUNTIFS('Mediation Dataset (Sudans)'!$G$2:$G$1222,"The Peaceful Co-Existence Committee", 'Mediation Dataset (Sudans)'!$O$2:$O$1222,"=1")</f>
        <v>1</v>
      </c>
      <c r="K92" s="45">
        <f>COUNTIFS('Mediation Dataset (Sudans)'!$G$2:$G$1222,"The Peaceful Co-Existence Committee", 'Mediation Dataset (Sudans)'!$P$2:$P$1222,"=1")</f>
        <v>1</v>
      </c>
      <c r="L92" s="45"/>
      <c r="M92" s="45"/>
      <c r="N92" s="45"/>
      <c r="O92" s="45"/>
      <c r="P92" s="45"/>
      <c r="Q92" s="45"/>
    </row>
    <row r="93" spans="4:17">
      <c r="D93" s="55" t="s">
        <v>910</v>
      </c>
      <c r="E93" s="53">
        <f>COUNTIFS('Mediation Dataset (Sudans)'!$G$2:$G$1222,"Burundi", 'Mediation Dataset (Sudans)'!$K$2:$K$1222,"S")</f>
        <v>0</v>
      </c>
      <c r="F93" s="53">
        <f>COUNTIFS('Mediation Dataset (Sudans)'!$G$2:$G$1222,"Burundi", 'Mediation Dataset (Sudans)'!$K$2:$K$1222,"G")</f>
        <v>0</v>
      </c>
      <c r="G93" s="53"/>
      <c r="I93" s="46" t="s">
        <v>910</v>
      </c>
      <c r="J93" s="45">
        <f>COUNTIFS('Mediation Dataset (Sudans)'!$G$2:$G$1222,"Burundi", 'Mediation Dataset (Sudans)'!$O$2:$O$1222,"=1")</f>
        <v>1</v>
      </c>
      <c r="K93" s="45">
        <f>COUNTIFS('Mediation Dataset (Sudans)'!$G$2:$G$1222,"Burundi", 'Mediation Dataset (Sudans)'!$P$2:$P$1222,"=1")</f>
        <v>0</v>
      </c>
      <c r="L93" s="45"/>
      <c r="M93" s="45"/>
      <c r="N93" s="45"/>
      <c r="O93" s="45"/>
      <c r="P93" s="45"/>
      <c r="Q93" s="45"/>
    </row>
    <row r="94" spans="4:17">
      <c r="D94" s="55" t="s">
        <v>902</v>
      </c>
      <c r="E94" s="53">
        <f>COUNTIFS('Mediation Dataset (Sudans)'!$G$2:$G$1222,"Equatorial Guinea", 'Mediation Dataset (Sudans)'!$K$2:$K$1222,"S")</f>
        <v>0</v>
      </c>
      <c r="F94" s="53">
        <f>COUNTIFS('Mediation Dataset (Sudans)'!$G$2:$G$1222,"Equatorial Guinea", 'Mediation Dataset (Sudans)'!$K$2:$K$1222,"G")</f>
        <v>0</v>
      </c>
      <c r="G94" s="53"/>
      <c r="I94" s="46" t="s">
        <v>902</v>
      </c>
      <c r="J94" s="45">
        <f>COUNTIFS('Mediation Dataset (Sudans)'!$G$2:$G$1222,"Equatorial Guinea", 'Mediation Dataset (Sudans)'!$O$2:$O$1222,"=1")</f>
        <v>1</v>
      </c>
      <c r="K94" s="45">
        <f>COUNTIFS('Mediation Dataset (Sudans)'!$G$2:$G$1222,"Equatorial Guinea", 'Mediation Dataset (Sudans)'!$P$2:$P$1222,"=1")</f>
        <v>0</v>
      </c>
      <c r="L94" s="45"/>
      <c r="M94" s="45"/>
      <c r="N94" s="45"/>
      <c r="O94" s="45"/>
      <c r="P94" s="45"/>
      <c r="Q94" s="45"/>
    </row>
    <row r="95" spans="4:17">
      <c r="D95" s="55" t="s">
        <v>903</v>
      </c>
      <c r="E95" s="53">
        <f>COUNTIFS('Mediation Dataset (Sudans)'!$G$2:$G$1222,"Lesotho", 'Mediation Dataset (Sudans)'!$K$2:$K$1222,"S")</f>
        <v>0</v>
      </c>
      <c r="F95" s="53">
        <f>COUNTIFS('Mediation Dataset (Sudans)'!$G$2:$G$1222,"Lesotho", 'Mediation Dataset (Sudans)'!$K$2:$K$1222,"G")</f>
        <v>0</v>
      </c>
      <c r="G95" s="53"/>
      <c r="I95" s="46" t="s">
        <v>903</v>
      </c>
      <c r="J95" s="45">
        <f>COUNTIFS('Mediation Dataset (Sudans)'!$G$2:$G$1222,"Lesotho", 'Mediation Dataset (Sudans)'!$O$2:$O$1222,"=1")</f>
        <v>1</v>
      </c>
      <c r="K95" s="45">
        <f>COUNTIFS('Mediation Dataset (Sudans)'!$G$2:$G$1222,"Lesotho", 'Mediation Dataset (Sudans)'!$P$2:$P$1222,"=1")</f>
        <v>0</v>
      </c>
      <c r="L95" s="45"/>
      <c r="M95" s="45"/>
      <c r="N95" s="45"/>
      <c r="O95" s="45"/>
      <c r="P95" s="45"/>
      <c r="Q95" s="45"/>
    </row>
    <row r="96" spans="4:17">
      <c r="D96" s="55" t="s">
        <v>904</v>
      </c>
      <c r="E96" s="53">
        <f>COUNTIFS('Mediation Dataset (Sudans)'!$G$2:$G$1222,"Morocco", 'Mediation Dataset (Sudans)'!$K$2:$K$1222,"S")</f>
        <v>0</v>
      </c>
      <c r="F96" s="53">
        <f>COUNTIFS('Mediation Dataset (Sudans)'!$G$2:$G$1222,"Morocco", 'Mediation Dataset (Sudans)'!$K$2:$K$1222,"G")</f>
        <v>0</v>
      </c>
      <c r="G96" s="53"/>
      <c r="I96" s="46" t="s">
        <v>904</v>
      </c>
      <c r="J96" s="45">
        <f>COUNTIFS('Mediation Dataset (Sudans)'!$G$2:$G$1222,"Morocco", 'Mediation Dataset (Sudans)'!$O$2:$O$1222,"=1")</f>
        <v>1</v>
      </c>
      <c r="K96" s="45">
        <f>COUNTIFS('Mediation Dataset (Sudans)'!$G$2:$G$1222,"Morocco", 'Mediation Dataset (Sudans)'!$P$2:$P$1222,"=1")</f>
        <v>0</v>
      </c>
      <c r="L96" s="45"/>
      <c r="M96" s="45"/>
      <c r="N96" s="45"/>
      <c r="O96" s="45"/>
      <c r="P96" s="45"/>
      <c r="Q96" s="45"/>
    </row>
    <row r="97" spans="4:17">
      <c r="D97" s="55" t="s">
        <v>905</v>
      </c>
      <c r="E97" s="53">
        <f>COUNTIFS('Mediation Dataset (Sudans)'!$G$2:$G$1222,"Togo", 'Mediation Dataset (Sudans)'!$K$2:$K$1222,"S")</f>
        <v>0</v>
      </c>
      <c r="F97" s="53">
        <f>COUNTIFS('Mediation Dataset (Sudans)'!$G$2:$G$1222,"Togo", 'Mediation Dataset (Sudans)'!$K$2:$K$1222,"G")</f>
        <v>0</v>
      </c>
      <c r="G97" s="53"/>
      <c r="I97" s="46" t="s">
        <v>905</v>
      </c>
      <c r="J97" s="45">
        <f>COUNTIFS('Mediation Dataset (Sudans)'!$G$2:$G$1222,"Togo", 'Mediation Dataset (Sudans)'!$O$2:$O$1222,"=1")</f>
        <v>1</v>
      </c>
      <c r="K97" s="45">
        <f>COUNTIFS('Mediation Dataset (Sudans)'!$G$2:$G$1222,"Togo", 'Mediation Dataset (Sudans)'!$P$2:$P$1222,"=1")</f>
        <v>0</v>
      </c>
      <c r="L97" s="45"/>
      <c r="M97" s="45"/>
      <c r="N97" s="45"/>
      <c r="O97" s="45"/>
      <c r="P97" s="45"/>
      <c r="Q97" s="45"/>
    </row>
    <row r="98" spans="4:17">
      <c r="D98" s="55" t="s">
        <v>906</v>
      </c>
      <c r="E98" s="53">
        <f>COUNTIFS('Mediation Dataset (Sudans)'!$G$2:$G$1222,"Gabon", 'Mediation Dataset (Sudans)'!$K$2:$K$1222,"S")</f>
        <v>0</v>
      </c>
      <c r="F98" s="53">
        <f>COUNTIFS('Mediation Dataset (Sudans)'!$G$2:$G$1222,"Gabon", 'Mediation Dataset (Sudans)'!$K$2:$K$1222,"G")</f>
        <v>0</v>
      </c>
      <c r="G98" s="53"/>
      <c r="I98" s="46" t="s">
        <v>906</v>
      </c>
      <c r="J98" s="45">
        <f>COUNTIFS('Mediation Dataset (Sudans)'!$G$2:$G$1222,"Gabon", 'Mediation Dataset (Sudans)'!$O$2:$O$1222,"=1")</f>
        <v>1</v>
      </c>
      <c r="K98" s="45">
        <f>COUNTIFS('Mediation Dataset (Sudans)'!$G$2:$G$1222,"Gabon", 'Mediation Dataset (Sudans)'!$P$2:$P$1222,"=1")</f>
        <v>0</v>
      </c>
      <c r="L98" s="45"/>
      <c r="M98" s="45"/>
      <c r="N98" s="45"/>
      <c r="O98" s="45"/>
      <c r="P98" s="45"/>
      <c r="Q98" s="45"/>
    </row>
    <row r="99" spans="4:17">
      <c r="D99" s="55" t="s">
        <v>907</v>
      </c>
      <c r="E99" s="53">
        <f>COUNTIFS('Mediation Dataset (Sudans)'!$G$2:$G$1222,"Liberia", 'Mediation Dataset (Sudans)'!$K$2:$K$1222,"S")</f>
        <v>0</v>
      </c>
      <c r="F99" s="53">
        <f>COUNTIFS('Mediation Dataset (Sudans)'!$G$2:$G$1222,"Liberia", 'Mediation Dataset (Sudans)'!$K$2:$K$1222,"G")</f>
        <v>0</v>
      </c>
      <c r="G99" s="53"/>
      <c r="I99" s="46" t="s">
        <v>907</v>
      </c>
      <c r="J99" s="45">
        <f>COUNTIFS('Mediation Dataset (Sudans)'!$G$2:$G$1222,"Liberia", 'Mediation Dataset (Sudans)'!$O$2:$O$1222,"=1")</f>
        <v>1</v>
      </c>
      <c r="K99" s="45">
        <f>COUNTIFS('Mediation Dataset (Sudans)'!$G$2:$G$1222,"Liberia", 'Mediation Dataset (Sudans)'!$P$2:$P$1222,"=1")</f>
        <v>0</v>
      </c>
      <c r="L99" s="45"/>
      <c r="M99" s="45"/>
      <c r="N99" s="45"/>
      <c r="O99" s="45"/>
      <c r="P99" s="45"/>
      <c r="Q99" s="45"/>
    </row>
    <row r="100" spans="4:17">
      <c r="D100" s="55" t="s">
        <v>908</v>
      </c>
      <c r="E100" s="53">
        <f>COUNTIFS('Mediation Dataset (Sudans)'!$G$2:$G$1222,"Sierra Leone", 'Mediation Dataset (Sudans)'!$K$2:$K$1222,"S")</f>
        <v>0</v>
      </c>
      <c r="F100" s="53">
        <f>COUNTIFS('Mediation Dataset (Sudans)'!$G$2:$G$1222,"Sierra Leone", 'Mediation Dataset (Sudans)'!$K$2:$K$1222,"G")</f>
        <v>0</v>
      </c>
      <c r="G100" s="53"/>
      <c r="I100" s="46" t="s">
        <v>908</v>
      </c>
      <c r="J100" s="45">
        <f>COUNTIFS('Mediation Dataset (Sudans)'!$G$2:$G$1222,"Sierra Leone", 'Mediation Dataset (Sudans)'!$O$2:$O$1222,"=1")</f>
        <v>1</v>
      </c>
      <c r="K100" s="45">
        <f>COUNTIFS('Mediation Dataset (Sudans)'!$G$2:$G$1222,"Sierra Leone", 'Mediation Dataset (Sudans)'!$P$2:$P$1222,"=1")</f>
        <v>0</v>
      </c>
      <c r="L100" s="45"/>
      <c r="M100" s="45"/>
      <c r="N100" s="45"/>
      <c r="O100" s="45"/>
      <c r="P100" s="45"/>
      <c r="Q100" s="45"/>
    </row>
    <row r="101" spans="4:17">
      <c r="D101" s="55" t="s">
        <v>909</v>
      </c>
      <c r="E101" s="53">
        <f>COUNTIFS('Mediation Dataset (Sudans)'!$G$2:$G$1222,"Zimbabwe", 'Mediation Dataset (Sudans)'!$K$2:$K$1222,"S")</f>
        <v>0</v>
      </c>
      <c r="F101" s="53">
        <f>COUNTIFS('Mediation Dataset (Sudans)'!$G$2:$G$1222,"Zimbabwe", 'Mediation Dataset (Sudans)'!$K$2:$K$1222,"G")</f>
        <v>0</v>
      </c>
      <c r="G101" s="53"/>
      <c r="I101" s="46" t="s">
        <v>909</v>
      </c>
      <c r="J101" s="45">
        <f>COUNTIFS('Mediation Dataset (Sudans)'!$G$2:$G$1222,"Zimbabwe", 'Mediation Dataset (Sudans)'!$O$2:$O$1222,"=1")</f>
        <v>1</v>
      </c>
      <c r="K101" s="45">
        <f>COUNTIFS('Mediation Dataset (Sudans)'!$G$2:$G$1222,"Zimbabwe", 'Mediation Dataset (Sudans)'!$P$2:$P$1222,"=1")</f>
        <v>0</v>
      </c>
      <c r="L101" s="45"/>
      <c r="M101" s="45"/>
      <c r="N101" s="45"/>
      <c r="O101" s="45"/>
      <c r="P101" s="45"/>
      <c r="Q101" s="45"/>
    </row>
    <row r="102" spans="4:17">
      <c r="D102" s="55" t="s">
        <v>927</v>
      </c>
      <c r="E102" s="53">
        <f>COUNTIFS('Mediation Dataset (Sudans)'!$G$2:$G$1222,"Christian Relief", 'Mediation Dataset (Sudans)'!$K$2:$K$1222,"S")</f>
        <v>0</v>
      </c>
      <c r="F102" s="53">
        <f>COUNTIFS('Mediation Dataset (Sudans)'!$G$2:$G$1222,"Christian Relief", 'Mediation Dataset (Sudans)'!$K$2:$K$1222,"G")</f>
        <v>1</v>
      </c>
      <c r="G102" s="53"/>
      <c r="I102" s="46" t="s">
        <v>927</v>
      </c>
      <c r="J102" s="45">
        <f>COUNTIFS('Mediation Dataset (Sudans)'!$G$2:$G$1222,"Christian Relief", 'Mediation Dataset (Sudans)'!$O$2:$O$1222,"=1")</f>
        <v>1</v>
      </c>
      <c r="K102" s="45">
        <f>COUNTIFS('Mediation Dataset (Sudans)'!$G$2:$G$1222,"Christian Relief", 'Mediation Dataset (Sudans)'!$P$2:$P$1222,"=1")</f>
        <v>0</v>
      </c>
      <c r="L102" s="45"/>
      <c r="M102" s="45"/>
      <c r="N102" s="45"/>
      <c r="O102" s="45"/>
      <c r="P102" s="45"/>
      <c r="Q102" s="45"/>
    </row>
    <row r="103" spans="4:17">
      <c r="D103" s="53" t="s">
        <v>941</v>
      </c>
      <c r="E103" s="53">
        <f>COUNTIFS('Mediation Dataset (Sudans)'!$G$2:$G$1222,"Abyei businessmen", 'Mediation Dataset (Sudans)'!$K$2:$K$1222,"S")</f>
        <v>0</v>
      </c>
      <c r="F103" s="53">
        <f>COUNTIFS('Mediation Dataset (Sudans)'!$G$2:$G$1222,"Abyei businessmen", 'Mediation Dataset (Sudans)'!$K$2:$K$1222,"G")</f>
        <v>0</v>
      </c>
      <c r="G103" s="53"/>
      <c r="I103" s="45" t="s">
        <v>941</v>
      </c>
      <c r="J103" s="45">
        <f>COUNTIFS('Mediation Dataset (Sudans)'!$G$2:$G$1222,"Abyei businessmen", 'Mediation Dataset (Sudans)'!$O$2:$O$1222,"=1")</f>
        <v>1</v>
      </c>
      <c r="K103" s="45">
        <f>COUNTIFS('Mediation Dataset (Sudans)'!$G$2:$G$1222,"Abyei businessmen", 'Mediation Dataset (Sudans)'!$P$2:$P$1222,"=1")</f>
        <v>0</v>
      </c>
      <c r="L103" s="45"/>
      <c r="M103" s="45"/>
      <c r="N103" s="45"/>
      <c r="O103" s="45"/>
      <c r="P103" s="45"/>
      <c r="Q103" s="45"/>
    </row>
    <row r="104" spans="4:17">
      <c r="D104" s="55" t="s">
        <v>1131</v>
      </c>
      <c r="E104" s="53">
        <f>COUNTIFS('Mediation Dataset (Sudans)'!$G$2:$G$1222,"RJMEC", 'Mediation Dataset (Sudans)'!$K$2:$K$1222,"S")</f>
        <v>0</v>
      </c>
      <c r="F104" s="53">
        <f>COUNTIFS('Mediation Dataset (Sudans)'!$G$2:$G$1222,"RJMEC", 'Mediation Dataset (Sudans)'!$K$2:$K$1222,"G")</f>
        <v>5</v>
      </c>
      <c r="G104" s="53"/>
      <c r="I104" s="46" t="s">
        <v>1131</v>
      </c>
      <c r="J104" s="45">
        <f>COUNTIFS('Mediation Dataset (Sudans)'!$G$2:$G$1222,"RJMEC", 'Mediation Dataset (Sudans)'!$O$2:$O$1222,"=1")</f>
        <v>6</v>
      </c>
      <c r="K104" s="45">
        <f>COUNTIFS('Mediation Dataset (Sudans)'!$G$2:$G$1222,"RJMEC", 'Mediation Dataset (Sudans)'!$P$2:$P$1222,"=1")</f>
        <v>2</v>
      </c>
      <c r="L104" s="45"/>
      <c r="M104" s="45"/>
      <c r="N104" s="45"/>
      <c r="O104" s="45"/>
      <c r="P104" s="45"/>
      <c r="Q104" s="45"/>
    </row>
    <row r="105" spans="4:17">
      <c r="D105" s="55" t="s">
        <v>609</v>
      </c>
      <c r="E105" s="53">
        <f>COUNTIFS('Mediation Dataset (Sudans)'!$G$2:$G$1222,"ICC", 'Mediation Dataset (Sudans)'!$K$2:$K$1222,"S")</f>
        <v>0</v>
      </c>
      <c r="F105" s="53">
        <f>COUNTIFS('Mediation Dataset (Sudans)'!$G$2:$G$1222,"ICC", 'Mediation Dataset (Sudans)'!$K$2:$K$1222,"G")</f>
        <v>1</v>
      </c>
      <c r="G105" s="53"/>
      <c r="I105" s="46" t="s">
        <v>609</v>
      </c>
      <c r="J105" s="45">
        <f>COUNTIFS('Mediation Dataset (Sudans)'!$G$2:$G$1222,"ICC", 'Mediation Dataset (Sudans)'!$O$2:$O$1222,"=1")</f>
        <v>0</v>
      </c>
      <c r="K105" s="45">
        <f>COUNTIFS('Mediation Dataset (Sudans)'!$G$2:$G$1222,"ICC", 'Mediation Dataset (Sudans)'!$P$2:$P$1222,"=1")</f>
        <v>0</v>
      </c>
      <c r="L105" s="45"/>
      <c r="M105" s="45"/>
      <c r="N105" s="45"/>
      <c r="O105" s="45"/>
      <c r="P105" s="45"/>
      <c r="Q105" s="45"/>
    </row>
    <row r="106" spans="4:17">
      <c r="D106" s="55" t="s">
        <v>973</v>
      </c>
      <c r="E106" s="53">
        <f>COUNTIFS('Mediation Dataset (Sudans)'!$G$2:$G$1222,"South Sudanese religious leaders", 'Mediation Dataset (Sudans)'!$K$2:$K$1222,"S")</f>
        <v>0</v>
      </c>
      <c r="F106" s="53">
        <f>COUNTIFS('Mediation Dataset (Sudans)'!$G$2:$G$1222,"South Sudanese religious leaders", 'Mediation Dataset (Sudans)'!$K$2:$K$1222,"G")</f>
        <v>0</v>
      </c>
      <c r="G106" s="53"/>
      <c r="I106" s="46" t="s">
        <v>973</v>
      </c>
      <c r="J106" s="45">
        <f>COUNTIFS('Mediation Dataset (Sudans)'!$G$2:$G$1222,"South Sudanese religious leaders", 'Mediation Dataset (Sudans)'!$O$2:$O$1222,"=1")</f>
        <v>1</v>
      </c>
      <c r="K106" s="45">
        <f>COUNTIFS('Mediation Dataset (Sudans)'!$G$2:$G$1222,"South Sudanese religious leaders", 'Mediation Dataset (Sudans)'!$P$2:$P$1222,"=1")</f>
        <v>1</v>
      </c>
      <c r="L106" s="45"/>
      <c r="M106" s="45"/>
      <c r="N106" s="45"/>
      <c r="O106" s="45"/>
      <c r="P106" s="45"/>
      <c r="Q106" s="45"/>
    </row>
    <row r="107" spans="4:17">
      <c r="D107" s="55" t="s">
        <v>1006</v>
      </c>
      <c r="E107" s="53">
        <f>COUNTIFS('Mediation Dataset (Sudans)'!$G$2:$G$1222,"African Diplomatic Corps", 'Mediation Dataset (Sudans)'!$K$2:$K$1222,"S")</f>
        <v>0</v>
      </c>
      <c r="F107" s="53">
        <f>COUNTIFS('Mediation Dataset (Sudans)'!$G$2:$G$1222,"African Diplomatic Corps", 'Mediation Dataset (Sudans)'!$K$2:$K$1222,"G")</f>
        <v>3</v>
      </c>
      <c r="G107" s="53"/>
      <c r="I107" s="46" t="s">
        <v>1006</v>
      </c>
      <c r="J107" s="45">
        <f>COUNTIFS('Mediation Dataset (Sudans)'!$G$2:$G$1222,"African Diplomatic Corps", 'Mediation Dataset (Sudans)'!$O$2:$O$1222,"=1")</f>
        <v>3</v>
      </c>
      <c r="K107" s="45">
        <f>COUNTIFS('Mediation Dataset (Sudans)'!$G$2:$G$1222,"African Diplomatic Corps", 'Mediation Dataset (Sudans)'!$P$2:$P$1222,"=1")</f>
        <v>0</v>
      </c>
      <c r="L107" s="45"/>
      <c r="M107" s="45"/>
      <c r="N107" s="45"/>
      <c r="O107" s="45"/>
      <c r="P107" s="45"/>
      <c r="Q107" s="45"/>
    </row>
    <row r="108" spans="4:17">
      <c r="D108" s="55" t="s">
        <v>1025</v>
      </c>
      <c r="E108" s="53">
        <f>COUNTIFS('Mediation Dataset (Sudans)'!$G$2:$G$1222,"Türkiye", 'Mediation Dataset (Sudans)'!$K$2:$K$1222,"S")</f>
        <v>2</v>
      </c>
      <c r="F108" s="53">
        <f>COUNTIFS('Mediation Dataset (Sudans)'!$G$2:$G$1222,"Türkiye", 'Mediation Dataset (Sudans)'!$K$2:$K$1222,"G")</f>
        <v>1</v>
      </c>
      <c r="G108" s="53"/>
      <c r="I108" s="46" t="s">
        <v>1025</v>
      </c>
      <c r="J108" s="45">
        <f>COUNTIFS('Mediation Dataset (Sudans)'!$G$2:$G$1222,"Türkiye", 'Mediation Dataset (Sudans)'!$O$2:$O$1222,"=1")</f>
        <v>0</v>
      </c>
      <c r="K108" s="45">
        <f>COUNTIFS('Mediation Dataset (Sudans)'!$G$2:$G$1222,"Türkiye", 'Mediation Dataset (Sudans)'!$P$2:$P$1222,"=1")</f>
        <v>0</v>
      </c>
      <c r="L108" s="45"/>
      <c r="M108" s="45"/>
      <c r="N108" s="45"/>
      <c r="O108" s="45"/>
      <c r="P108" s="45"/>
      <c r="Q108" s="45"/>
    </row>
    <row r="109" spans="4:17">
      <c r="D109" s="55" t="s">
        <v>1054</v>
      </c>
      <c r="E109" s="53">
        <f>COUNTIFS('Mediation Dataset (Sudans)'!$G$2:$G$1222,"CTSAMVM", 'Mediation Dataset (Sudans)'!$K$2:$K$1222,"S")</f>
        <v>0</v>
      </c>
      <c r="F109" s="53">
        <f>COUNTIFS('Mediation Dataset (Sudans)'!$G$2:$G$1222,"CTSAMVM", 'Mediation Dataset (Sudans)'!$K$2:$K$1222,"G")</f>
        <v>1</v>
      </c>
      <c r="G109" s="53"/>
      <c r="I109" s="46" t="s">
        <v>1054</v>
      </c>
      <c r="J109" s="45">
        <f>COUNTIFS('Mediation Dataset (Sudans)'!$G$2:$G$1222,"CTSAMVM", 'Mediation Dataset (Sudans)'!$O$2:$O$1222,"=1")</f>
        <v>0</v>
      </c>
      <c r="K109" s="45">
        <f>COUNTIFS('Mediation Dataset (Sudans)'!$G$2:$G$1222,"CTSAMVM", 'Mediation Dataset (Sudans)'!$P$2:$P$1222,"=1")</f>
        <v>0</v>
      </c>
      <c r="L109" s="45"/>
      <c r="M109" s="45"/>
      <c r="N109" s="45"/>
      <c r="O109" s="45"/>
      <c r="P109" s="45"/>
      <c r="Q109" s="45"/>
    </row>
    <row r="110" spans="4:17">
      <c r="D110" s="55" t="s">
        <v>846</v>
      </c>
      <c r="E110" s="53">
        <f>COUNTIFS('Mediation Dataset (Sudans)'!$G$2:$G$1222,"National Democratic Institute", 'Mediation Dataset (Sudans)'!$K$2:$K$1222,"S")</f>
        <v>0</v>
      </c>
      <c r="F110" s="53">
        <f>COUNTIFS('Mediation Dataset (Sudans)'!$G$2:$G$1222,"National Democratic Institute", 'Mediation Dataset (Sudans)'!$K$2:$K$1222,"G")</f>
        <v>1</v>
      </c>
      <c r="G110" s="53"/>
      <c r="I110" s="46" t="s">
        <v>846</v>
      </c>
      <c r="J110" s="45">
        <f>COUNTIFS('Mediation Dataset (Sudans)'!$G$2:$G$1222,"National Democratic Institute", 'Mediation Dataset (Sudans)'!$O$2:$O$1222,"=1")</f>
        <v>1</v>
      </c>
      <c r="K110" s="45">
        <f>COUNTIFS('Mediation Dataset (Sudans)'!$G$2:$G$1222,"National Democratic Institute", 'Mediation Dataset (Sudans)'!$P$2:$P$1222,"=1")</f>
        <v>0</v>
      </c>
      <c r="L110" s="45"/>
      <c r="M110" s="45"/>
      <c r="N110" s="45"/>
      <c r="O110" s="45"/>
      <c r="P110" s="45"/>
      <c r="Q110" s="45"/>
    </row>
    <row r="113" spans="5:11">
      <c r="E113" s="48" t="s">
        <v>1204</v>
      </c>
      <c r="F113" s="49"/>
      <c r="G113" s="49"/>
      <c r="I113" s="52" t="s">
        <v>1205</v>
      </c>
      <c r="J113" s="53"/>
      <c r="K113" s="53"/>
    </row>
    <row r="114" spans="5:11">
      <c r="E114" s="1" t="s">
        <v>1180</v>
      </c>
      <c r="F114" s="1" t="s">
        <v>1182</v>
      </c>
      <c r="G114" s="1" t="s">
        <v>1183</v>
      </c>
      <c r="I114" s="3" t="s">
        <v>1184</v>
      </c>
      <c r="J114" s="3" t="s">
        <v>1186</v>
      </c>
      <c r="K114" s="3" t="s">
        <v>1185</v>
      </c>
    </row>
    <row r="115" spans="5:11">
      <c r="E115" s="49" t="s">
        <v>22</v>
      </c>
      <c r="F115" s="49">
        <f>COUNTIF('Mediation Dataset (Sudans)'!$G$2:$G$1222, "Ethiopia")</f>
        <v>78</v>
      </c>
      <c r="G115" s="49">
        <f>(F115/F222)*100</f>
        <v>21.666666666666668</v>
      </c>
      <c r="I115" s="53" t="s">
        <v>201</v>
      </c>
      <c r="J115" s="53">
        <f>COUNTIF('Mediation Dataset (Sudans)'!$K$2:$K$1222, "N")</f>
        <v>37</v>
      </c>
      <c r="K115" s="53">
        <f>(37/1220)*100</f>
        <v>3.0327868852459017</v>
      </c>
    </row>
    <row r="116" spans="5:11">
      <c r="E116" s="50" t="s">
        <v>37</v>
      </c>
      <c r="F116" s="49">
        <f>COUNTIF('Mediation Dataset (Sudans)'!$G$2:$G$1222, "UN")</f>
        <v>134</v>
      </c>
      <c r="G116" s="49">
        <f>(F116/F222)*100</f>
        <v>37.222222222222221</v>
      </c>
      <c r="I116" s="53" t="s">
        <v>25</v>
      </c>
      <c r="J116" s="53">
        <f>COUNTIF('Mediation Dataset (Sudans)'!$K$2:$K$1222, "R")</f>
        <v>353</v>
      </c>
      <c r="K116" s="53">
        <f>(353/1220)*100</f>
        <v>28.934426229508198</v>
      </c>
    </row>
    <row r="117" spans="5:11">
      <c r="E117" s="50" t="s">
        <v>193</v>
      </c>
      <c r="F117" s="49">
        <f>COUNTIF('Mediation Dataset (Sudans)'!$G$2:$G$1222, "United States of America")</f>
        <v>65</v>
      </c>
      <c r="G117" s="49">
        <f>(F117/F222)*100</f>
        <v>18.055555555555554</v>
      </c>
      <c r="I117" s="53" t="s">
        <v>41</v>
      </c>
      <c r="J117" s="53">
        <f>COUNTIF('Mediation Dataset (Sudans)'!$K$2:$K$1222, "G")</f>
        <v>758</v>
      </c>
      <c r="K117" s="53">
        <f>(755/1220)*100</f>
        <v>61.885245901639344</v>
      </c>
    </row>
    <row r="118" spans="5:11">
      <c r="E118" s="50" t="s">
        <v>182</v>
      </c>
      <c r="F118" s="49">
        <f>COUNTIF('Mediation Dataset (Sudans)'!$G$2:$G$1222, "OAU")</f>
        <v>2</v>
      </c>
      <c r="G118" s="49">
        <f>(F118/F222)*100</f>
        <v>0.55555555555555558</v>
      </c>
      <c r="I118" s="53" t="s">
        <v>65</v>
      </c>
      <c r="J118" s="53">
        <f>COUNTIF('Mediation Dataset (Sudans)'!$K$2:$K$1222, "S")</f>
        <v>73</v>
      </c>
      <c r="K118" s="53">
        <f>(76/1220)*100</f>
        <v>6.2295081967213122</v>
      </c>
    </row>
    <row r="119" spans="5:11">
      <c r="E119" s="50" t="s">
        <v>151</v>
      </c>
      <c r="F119" s="49">
        <f>COUNTIF('Mediation Dataset (Sudans)'!$G$2:$G$1222, "Nigeria")</f>
        <v>7</v>
      </c>
      <c r="G119" s="49">
        <f>(F119/F222)*100</f>
        <v>1.9444444444444444</v>
      </c>
      <c r="I119" s="53"/>
      <c r="J119" s="53"/>
      <c r="K119" s="53"/>
    </row>
    <row r="120" spans="5:11">
      <c r="E120" s="50" t="s">
        <v>35</v>
      </c>
      <c r="F120" s="49">
        <f>COUNTIF('Mediation Dataset (Sudans)'!$G$2:$G$1222, "IGAD")</f>
        <v>101</v>
      </c>
      <c r="G120" s="49">
        <f>(F120/F222)*100</f>
        <v>28.055555555555557</v>
      </c>
      <c r="I120" s="53" t="s">
        <v>1187</v>
      </c>
      <c r="J120" s="53">
        <v>1220</v>
      </c>
      <c r="K120" s="53"/>
    </row>
    <row r="121" spans="5:11">
      <c r="E121" s="50" t="s">
        <v>152</v>
      </c>
      <c r="F121" s="49">
        <f>COUNTIF('Mediation Dataset (Sudans)'!$G$2:$G$1222, "Kenya")</f>
        <v>69</v>
      </c>
      <c r="G121" s="49">
        <f>(F121/F222)*100</f>
        <v>19.166666666666668</v>
      </c>
    </row>
    <row r="122" spans="5:11">
      <c r="E122" s="50" t="s">
        <v>191</v>
      </c>
      <c r="F122" s="49">
        <f>COUNTIF('Mediation Dataset (Sudans)'!$G$2:$G$1222, "Eritrea")</f>
        <v>59</v>
      </c>
      <c r="G122" s="49">
        <f>(F122/F222)*100</f>
        <v>16.388888888888889</v>
      </c>
    </row>
    <row r="123" spans="5:11">
      <c r="E123" s="50" t="s">
        <v>192</v>
      </c>
      <c r="F123" s="49">
        <f>COUNTIF('Mediation Dataset (Sudans)'!$G$2:$G$1222, "Uganda")</f>
        <v>69</v>
      </c>
      <c r="G123" s="49">
        <f>(F123/F222)*100</f>
        <v>19.166666666666668</v>
      </c>
    </row>
    <row r="124" spans="5:11">
      <c r="E124" s="50" t="s">
        <v>158</v>
      </c>
      <c r="F124" s="49">
        <f>COUNTIF('Mediation Dataset (Sudans)'!$G$2:$G$1222, "Carter Center")</f>
        <v>1</v>
      </c>
      <c r="G124" s="49">
        <f>(F124/F222)*100</f>
        <v>0.27777777777777779</v>
      </c>
    </row>
    <row r="125" spans="5:11">
      <c r="E125" s="50" t="s">
        <v>273</v>
      </c>
      <c r="F125" s="49">
        <f>COUNTIF('Mediation Dataset (Sudans)'!$G$2:$G$1222, "Fashoda Relief")</f>
        <v>1</v>
      </c>
      <c r="G125" s="49">
        <f>(F125/F222)*100</f>
        <v>0.27777777777777779</v>
      </c>
    </row>
    <row r="126" spans="5:11">
      <c r="E126" s="50" t="s">
        <v>281</v>
      </c>
      <c r="F126" s="49">
        <f>COUNTIF('Mediation Dataset (Sudans)'!$G$2:$G$1222, "NGO consortium")</f>
        <v>1</v>
      </c>
      <c r="G126" s="49">
        <f>(F126/F222)*100</f>
        <v>0.27777777777777779</v>
      </c>
    </row>
    <row r="127" spans="5:11">
      <c r="E127" s="50" t="s">
        <v>196</v>
      </c>
      <c r="F127" s="49">
        <f>COUNTIF('Mediation Dataset (Sudans)'!$G$2:$G$1222, "South Africa")</f>
        <v>7</v>
      </c>
      <c r="G127" s="49">
        <f>(F127/F222)*100</f>
        <v>1.9444444444444444</v>
      </c>
      <c r="I127" s="7"/>
      <c r="J127" s="7"/>
      <c r="K127" s="7"/>
    </row>
    <row r="128" spans="5:11">
      <c r="E128" s="50" t="s">
        <v>159</v>
      </c>
      <c r="F128" s="49">
        <f>COUNTIF('Mediation Dataset (Sudans)'!$G$2:$G$1222, "Abel Alier")</f>
        <v>1</v>
      </c>
      <c r="G128" s="49">
        <f>(F128/F222)*100</f>
        <v>0.27777777777777779</v>
      </c>
    </row>
    <row r="129" spans="5:7">
      <c r="E129" s="50" t="s">
        <v>154</v>
      </c>
      <c r="F129" s="49">
        <f>COUNTIF('Mediation Dataset (Sudans)'!$G$2:$G$1222, "Egypt")</f>
        <v>15</v>
      </c>
      <c r="G129" s="49">
        <f>(F129/F222)*100</f>
        <v>4.1666666666666661</v>
      </c>
    </row>
    <row r="130" spans="5:7">
      <c r="E130" s="50" t="s">
        <v>283</v>
      </c>
      <c r="F130" s="49">
        <f>COUNTIF('Mediation Dataset (Sudans)'!$G$2:$G$1222, "Libya")</f>
        <v>2</v>
      </c>
      <c r="G130" s="49">
        <f>(F130/F222)*100</f>
        <v>0.55555555555555558</v>
      </c>
    </row>
    <row r="131" spans="5:7">
      <c r="E131" s="50" t="s">
        <v>153</v>
      </c>
      <c r="F131" s="49">
        <f>COUNTIF('Mediation Dataset (Sudans)'!$G$2:$G$1222, "Switzerland")</f>
        <v>5</v>
      </c>
      <c r="G131" s="49">
        <f>(F131/F222)*100</f>
        <v>1.3888888888888888</v>
      </c>
    </row>
    <row r="132" spans="5:7">
      <c r="E132" s="50" t="s">
        <v>202</v>
      </c>
      <c r="F132" s="49">
        <f>COUNTIF('Mediation Dataset (Sudans)'!$G$2:$G$1222, "United Kingdom")</f>
        <v>55</v>
      </c>
      <c r="G132" s="49">
        <f>(F132/F222)*100</f>
        <v>15.277777777777779</v>
      </c>
    </row>
    <row r="133" spans="5:7">
      <c r="E133" s="50" t="s">
        <v>203</v>
      </c>
      <c r="F133" s="49">
        <f>COUNTIF('Mediation Dataset (Sudans)'!$G$2:$G$1222, "Norway")</f>
        <v>54</v>
      </c>
      <c r="G133" s="49">
        <f>(F133/F222)*100</f>
        <v>15</v>
      </c>
    </row>
    <row r="134" spans="5:7">
      <c r="E134" s="50" t="s">
        <v>204</v>
      </c>
      <c r="F134" s="49">
        <f>COUNTIF('Mediation Dataset (Sudans)'!$G$2:$G$1222, "Italy")</f>
        <v>27</v>
      </c>
      <c r="G134" s="49">
        <f>(F134/F222)*100</f>
        <v>7.5</v>
      </c>
    </row>
    <row r="135" spans="5:7">
      <c r="E135" s="50" t="s">
        <v>298</v>
      </c>
      <c r="F135" s="49">
        <f>COUNTIF('Mediation Dataset (Sudans)'!$G$2:$G$1222, "Arab League")</f>
        <v>7</v>
      </c>
      <c r="G135" s="49">
        <f>(F135/F222)*100</f>
        <v>1.9444444444444444</v>
      </c>
    </row>
    <row r="136" spans="5:7">
      <c r="E136" s="50" t="s">
        <v>162</v>
      </c>
      <c r="F136" s="49">
        <f>COUNTIF('Mediation Dataset (Sudans)'!$G$2:$G$1222, "Darfur Security Committee")</f>
        <v>1</v>
      </c>
      <c r="G136" s="49">
        <f>(F136/F222)*100</f>
        <v>0.27777777777777779</v>
      </c>
    </row>
    <row r="137" spans="5:7">
      <c r="E137" s="50" t="s">
        <v>156</v>
      </c>
      <c r="F137" s="49">
        <f>COUNTIF('Mediation Dataset (Sudans)'!$G$2:$G$1222, "Chad")</f>
        <v>17</v>
      </c>
      <c r="G137" s="49">
        <f>(F137/F222)*100</f>
        <v>4.7222222222222223</v>
      </c>
    </row>
    <row r="138" spans="5:7">
      <c r="E138" s="50" t="s">
        <v>155</v>
      </c>
      <c r="F138" s="49">
        <f>COUNTIF('Mediation Dataset (Sudans)'!$G$2:$G$1222, "Saudi Arabia")</f>
        <v>10</v>
      </c>
      <c r="G138" s="49">
        <f>(F138/F222)*100</f>
        <v>2.7777777777777777</v>
      </c>
    </row>
    <row r="139" spans="5:7">
      <c r="E139" s="50" t="s">
        <v>26</v>
      </c>
      <c r="F139" s="49">
        <f>COUNTIF('Mediation Dataset (Sudans)'!$G$2:$G$1222, "AU")</f>
        <v>96</v>
      </c>
      <c r="G139" s="49">
        <f>(F139/F222)*100</f>
        <v>26.666666666666668</v>
      </c>
    </row>
    <row r="140" spans="5:7">
      <c r="E140" s="50" t="s">
        <v>161</v>
      </c>
      <c r="F140" s="49">
        <f>COUNTIF('Mediation Dataset (Sudans)'!$G$2:$G$1222, "EU")</f>
        <v>29</v>
      </c>
      <c r="G140" s="49">
        <f>(F140/F222)*100</f>
        <v>8.0555555555555554</v>
      </c>
    </row>
    <row r="141" spans="5:7">
      <c r="E141" s="50" t="s">
        <v>324</v>
      </c>
      <c r="F141" s="49">
        <f>COUNTIF('Mediation Dataset (Sudans)'!$G$2:$G$1222, "Algeria")</f>
        <v>5</v>
      </c>
      <c r="G141" s="49">
        <f>(F141/F222)*100</f>
        <v>1.3888888888888888</v>
      </c>
    </row>
    <row r="142" spans="5:7">
      <c r="E142" s="50" t="s">
        <v>325</v>
      </c>
      <c r="F142" s="49">
        <f>COUNTIF('Mediation Dataset (Sudans)'!$G$2:$G$1222, "Angola")</f>
        <v>3</v>
      </c>
      <c r="G142" s="49">
        <f>(F142/F222)*100</f>
        <v>0.83333333333333337</v>
      </c>
    </row>
    <row r="143" spans="5:7">
      <c r="E143" s="50" t="s">
        <v>326</v>
      </c>
      <c r="F143" s="49">
        <f>COUNTIF('Mediation Dataset (Sudans)'!$G$2:$G$1222, "Benin")</f>
        <v>1</v>
      </c>
      <c r="G143" s="49">
        <f>(F143/F222)*100</f>
        <v>0.27777777777777779</v>
      </c>
    </row>
    <row r="144" spans="5:7">
      <c r="E144" s="50" t="s">
        <v>327</v>
      </c>
      <c r="F144" s="49">
        <f>COUNTIF('Mediation Dataset (Sudans)'!$G$2:$G$1222, "Brazil")</f>
        <v>1</v>
      </c>
      <c r="G144" s="49">
        <f>(F144/F222)*100</f>
        <v>0.27777777777777779</v>
      </c>
    </row>
    <row r="145" spans="5:7">
      <c r="E145" s="50" t="s">
        <v>222</v>
      </c>
      <c r="F145" s="49">
        <f>COUNTIF('Mediation Dataset (Sudans)'!$G$2:$G$1222, "France")</f>
        <v>7</v>
      </c>
      <c r="G145" s="49">
        <f>(F145/F222)*100</f>
        <v>1.9444444444444444</v>
      </c>
    </row>
    <row r="146" spans="5:7">
      <c r="E146" s="50" t="s">
        <v>223</v>
      </c>
      <c r="F146" s="49">
        <f>COUNTIF('Mediation Dataset (Sudans)'!$G$2:$G$1222, "Germany")</f>
        <v>15</v>
      </c>
      <c r="G146" s="49">
        <f>(F146/F222)*100</f>
        <v>4.1666666666666661</v>
      </c>
    </row>
    <row r="147" spans="5:7">
      <c r="E147" s="50" t="s">
        <v>328</v>
      </c>
      <c r="F147" s="49">
        <f>COUNTIF('Mediation Dataset (Sudans)'!$G$2:$G$1222, "Pakistan")</f>
        <v>1</v>
      </c>
      <c r="G147" s="49">
        <f>(F147/F222)*100</f>
        <v>0.27777777777777779</v>
      </c>
    </row>
    <row r="148" spans="5:7">
      <c r="E148" s="50" t="s">
        <v>329</v>
      </c>
      <c r="F148" s="49">
        <f>COUNTIF('Mediation Dataset (Sudans)'!$G$2:$G$1222, "Philippines")</f>
        <v>1</v>
      </c>
      <c r="G148" s="49">
        <f>(F148/F222)*100</f>
        <v>0.27777777777777779</v>
      </c>
    </row>
    <row r="149" spans="5:7">
      <c r="E149" s="50" t="s">
        <v>330</v>
      </c>
      <c r="F149" s="49">
        <f>COUNTIF('Mediation Dataset (Sudans)'!$G$2:$G$1222, "Romania")</f>
        <v>3</v>
      </c>
      <c r="G149" s="49">
        <f>(F149/F222)*100</f>
        <v>0.83333333333333337</v>
      </c>
    </row>
    <row r="150" spans="5:7">
      <c r="E150" s="50" t="s">
        <v>62</v>
      </c>
      <c r="F150" s="49">
        <f>COUNTIF('Mediation Dataset (Sudans)'!$G$2:$G$1222, "Russia")</f>
        <v>5</v>
      </c>
      <c r="G150" s="49">
        <f>(F150/F222)*100</f>
        <v>1.3888888888888888</v>
      </c>
    </row>
    <row r="151" spans="5:7">
      <c r="E151" s="50" t="s">
        <v>331</v>
      </c>
      <c r="F151" s="49">
        <f>COUNTIF('Mediation Dataset (Sudans)'!$G$2:$G$1222, "Spain")</f>
        <v>5</v>
      </c>
      <c r="G151" s="49">
        <f>(F151/F222)*100</f>
        <v>1.3888888888888888</v>
      </c>
    </row>
    <row r="152" spans="5:7">
      <c r="E152" s="50" t="s">
        <v>377</v>
      </c>
      <c r="F152" s="49">
        <f>COUNTIF('Mediation Dataset (Sudans)'!$G$2:$G$1222, "Netherlands")</f>
        <v>6</v>
      </c>
      <c r="G152" s="49">
        <f>(F152/F222)*100</f>
        <v>1.6666666666666667</v>
      </c>
    </row>
    <row r="153" spans="5:7">
      <c r="E153" s="50" t="s">
        <v>386</v>
      </c>
      <c r="F153" s="49">
        <f>COUNTIF('Mediation Dataset (Sudans)'!$G$2:$G$1222, "IPF")</f>
        <v>4</v>
      </c>
      <c r="G153" s="49">
        <f>(F153/F222)*100</f>
        <v>1.1111111111111112</v>
      </c>
    </row>
    <row r="154" spans="5:7">
      <c r="E154" s="50" t="s">
        <v>157</v>
      </c>
      <c r="F154" s="49">
        <f>COUNTIF('Mediation Dataset (Sudans)'!$G$2:$G$1222, "Qatar")</f>
        <v>15</v>
      </c>
      <c r="G154" s="49">
        <f>(F154/F222)*100</f>
        <v>4.1666666666666661</v>
      </c>
    </row>
    <row r="155" spans="5:7">
      <c r="E155" s="50" t="s">
        <v>163</v>
      </c>
      <c r="F155" s="49">
        <f>COUNTIF('Mediation Dataset (Sudans)'!$G$2:$G$1222, "Episcopal Church of Sudan")</f>
        <v>1</v>
      </c>
      <c r="G155" s="49">
        <f>(F155/F222)*100</f>
        <v>0.27777777777777779</v>
      </c>
    </row>
    <row r="156" spans="5:7">
      <c r="E156" s="50" t="s">
        <v>210</v>
      </c>
      <c r="F156" s="49">
        <f>COUNTIF('Mediation Dataset (Sudans)'!$G$2:$G$1222, "South Sudan Council of Churches")</f>
        <v>3</v>
      </c>
      <c r="G156" s="49">
        <f>(F156/F222)*100</f>
        <v>0.83333333333333337</v>
      </c>
    </row>
    <row r="157" spans="5:7">
      <c r="E157" s="50" t="s">
        <v>243</v>
      </c>
      <c r="F157" s="49">
        <f>COUNTIF('Mediation Dataset (Sudans)'!$G$2:$G$1222, "James Ellery")</f>
        <v>2</v>
      </c>
      <c r="G157" s="49">
        <f>(F157/F222)*100</f>
        <v>0.55555555555555558</v>
      </c>
    </row>
    <row r="158" spans="5:7">
      <c r="E158" s="49" t="s">
        <v>438</v>
      </c>
      <c r="F158" s="49">
        <f>COUNTIF('Mediation Dataset (Sudans)'!$G$2:$G$1222, "Local Murle elites")</f>
        <v>1</v>
      </c>
      <c r="G158" s="49">
        <f>(F158/F222)*100</f>
        <v>0.27777777777777779</v>
      </c>
    </row>
    <row r="159" spans="5:7">
      <c r="E159" s="50" t="s">
        <v>245</v>
      </c>
      <c r="F159" s="49">
        <f>COUNTIF('Mediation Dataset (Sudans)'!$G$2:$G$1222, "Equatorian Church Leaders")</f>
        <v>1</v>
      </c>
      <c r="G159" s="49">
        <f>(F159/F222)*100</f>
        <v>0.27777777777777779</v>
      </c>
    </row>
    <row r="160" spans="5:7">
      <c r="E160" s="50" t="s">
        <v>244</v>
      </c>
      <c r="F160" s="49">
        <f>COUNTIF('Mediation Dataset (Sudans)'!$G$2:$G$1222, "PAX")</f>
        <v>1</v>
      </c>
      <c r="G160" s="49">
        <f>(F160/F222)*100</f>
        <v>0.27777777777777779</v>
      </c>
    </row>
    <row r="161" spans="5:7">
      <c r="E161" s="50" t="s">
        <v>1173</v>
      </c>
      <c r="F161" s="49">
        <f>COUNTIF('Mediation Dataset (Sudans)'!$G$2:$G$1222, "Norwegian Church Aid")</f>
        <v>1</v>
      </c>
      <c r="G161" s="49">
        <f>(F161/F222)*100</f>
        <v>0.27777777777777779</v>
      </c>
    </row>
    <row r="162" spans="5:7">
      <c r="E162" s="50" t="s">
        <v>211</v>
      </c>
      <c r="F162" s="49">
        <f>COUNTIF('Mediation Dataset (Sudans)'!$G$2:$G$1222, "Shilluk reth")</f>
        <v>3</v>
      </c>
      <c r="G162" s="49">
        <f>(F162/F222)*100</f>
        <v>0.83333333333333337</v>
      </c>
    </row>
    <row r="163" spans="5:7">
      <c r="E163" s="50" t="s">
        <v>60</v>
      </c>
      <c r="F163" s="49">
        <f>COUNTIF('Mediation Dataset (Sudans)'!$G$2:$G$1222, "Sudan")</f>
        <v>33</v>
      </c>
      <c r="G163" s="49">
        <f>(F163/F222)*100</f>
        <v>9.1666666666666661</v>
      </c>
    </row>
    <row r="164" spans="5:7">
      <c r="E164" s="50" t="s">
        <v>246</v>
      </c>
      <c r="F164" s="49">
        <f>COUNTIF('Mediation Dataset (Sudans)'!$G$2:$G$1222, "South Sudanese Church Leaders")</f>
        <v>1</v>
      </c>
      <c r="G164" s="49">
        <f>(F164/F222)*100</f>
        <v>0.27777777777777779</v>
      </c>
    </row>
    <row r="165" spans="5:7">
      <c r="E165" s="50" t="s">
        <v>229</v>
      </c>
      <c r="F165" s="49">
        <f>COUNTIF('Mediation Dataset (Sudans)'!$G$2:$G$1222, "Tanzania")</f>
        <v>1</v>
      </c>
      <c r="G165" s="49">
        <f>(F165/F222)*100</f>
        <v>0.27777777777777779</v>
      </c>
    </row>
    <row r="166" spans="5:7">
      <c r="E166" s="50" t="s">
        <v>249</v>
      </c>
      <c r="F166" s="49">
        <f>COUNTIF('Mediation Dataset (Sudans)'!$G$2:$G$1222, "China")</f>
        <v>11</v>
      </c>
      <c r="G166" s="49">
        <f>(F166/F222)*100</f>
        <v>3.0555555555555554</v>
      </c>
    </row>
    <row r="167" spans="5:7">
      <c r="E167" s="50" t="s">
        <v>484</v>
      </c>
      <c r="F167" s="49">
        <f>COUNTIF('Mediation Dataset (Sudans)'!$G$2:$G$1222, "Djibouti")</f>
        <v>7</v>
      </c>
      <c r="G167" s="49">
        <f>(F167/F222)*100</f>
        <v>1.9444444444444444</v>
      </c>
    </row>
    <row r="168" spans="5:7">
      <c r="E168" s="50" t="s">
        <v>485</v>
      </c>
      <c r="F168" s="49">
        <f>COUNTIF('Mediation Dataset (Sudans)'!$G$2:$G$1222, "Somalia")</f>
        <v>5</v>
      </c>
      <c r="G168" s="49">
        <f>(F168/F222)*100</f>
        <v>1.3888888888888888</v>
      </c>
    </row>
    <row r="169" spans="5:7">
      <c r="E169" s="50" t="s">
        <v>482</v>
      </c>
      <c r="F169" s="49">
        <f>COUNTIF('Mediation Dataset (Sudans)'!$G$2:$G$1222, "Rwanda")</f>
        <v>5</v>
      </c>
      <c r="G169" s="49">
        <f>(F169/F222)*100</f>
        <v>1.3888888888888888</v>
      </c>
    </row>
    <row r="170" spans="5:7">
      <c r="E170" s="50" t="s">
        <v>507</v>
      </c>
      <c r="F170" s="49">
        <f>COUNTIF('Mediation Dataset (Sudans)'!$G$2:$G$1222, "Ghana")</f>
        <v>1</v>
      </c>
      <c r="G170" s="49">
        <f>(F170/F222)*100</f>
        <v>0.27777777777777779</v>
      </c>
    </row>
    <row r="171" spans="5:7">
      <c r="E171" s="50" t="s">
        <v>965</v>
      </c>
      <c r="F171" s="49">
        <f>COUNTIF('Mediation Dataset (Sudans)'!$G$2:$G$1222, "Community of Sant’ Egidio")</f>
        <v>9</v>
      </c>
      <c r="G171" s="49">
        <f>(F171/F222)*100</f>
        <v>2.5</v>
      </c>
    </row>
    <row r="172" spans="5:7">
      <c r="E172" s="50" t="s">
        <v>252</v>
      </c>
      <c r="F172" s="49">
        <f>COUNTIF('Mediation Dataset (Sudans)'!$G$2:$G$1222, "Berghof Foundation")</f>
        <v>3</v>
      </c>
      <c r="G172" s="49">
        <f>(F172/F222)*100</f>
        <v>0.83333333333333337</v>
      </c>
    </row>
    <row r="173" spans="5:7">
      <c r="E173" s="50" t="s">
        <v>671</v>
      </c>
      <c r="F173" s="49">
        <f>COUNTIF('Mediation Dataset (Sudans)'!$G$2:$G$1222, "Ireland")</f>
        <v>4</v>
      </c>
      <c r="G173" s="49">
        <f>(F173/F222)*100</f>
        <v>1.1111111111111112</v>
      </c>
    </row>
    <row r="174" spans="5:7">
      <c r="E174" s="50" t="s">
        <v>612</v>
      </c>
      <c r="F174" s="49">
        <f>COUNTIF('Mediation Dataset (Sudans)'!$G$2:$G$1222, "Japan")</f>
        <v>5</v>
      </c>
      <c r="G174" s="49">
        <f>(F174/F222)*100</f>
        <v>1.3888888888888888</v>
      </c>
    </row>
    <row r="175" spans="5:7">
      <c r="E175" s="50" t="s">
        <v>615</v>
      </c>
      <c r="F175" s="49">
        <f>COUNTIF('Mediation Dataset (Sudans)'!$G$2:$G$1222, "United Arab Emirates")</f>
        <v>10</v>
      </c>
      <c r="G175" s="49">
        <f>(F175/F222)*100</f>
        <v>2.7777777777777777</v>
      </c>
    </row>
    <row r="176" spans="5:7">
      <c r="E176" s="50" t="s">
        <v>18</v>
      </c>
      <c r="F176" s="49">
        <f>COUNTIF('Mediation Dataset (Sudans)'!$G$2:$G$1222, "South Sudan")</f>
        <v>21</v>
      </c>
      <c r="G176" s="49">
        <f>(F176/F222)*100</f>
        <v>5.833333333333333</v>
      </c>
    </row>
    <row r="177" spans="5:7">
      <c r="E177" s="50" t="s">
        <v>547</v>
      </c>
      <c r="F177" s="49">
        <f>COUNTIF('Mediation Dataset (Sudans)'!$G$2:$G$1222, "ICRC")</f>
        <v>2</v>
      </c>
      <c r="G177" s="49">
        <f>(F177/F222)*100</f>
        <v>0.55555555555555558</v>
      </c>
    </row>
    <row r="178" spans="5:7">
      <c r="E178" s="50" t="s">
        <v>567</v>
      </c>
      <c r="F178" s="49">
        <f>COUNTIF('Mediation Dataset (Sudans)'!$G$2:$G$1222, "Sweden")</f>
        <v>7</v>
      </c>
      <c r="G178" s="49">
        <f>(F178/F222)*100</f>
        <v>1.9444444444444444</v>
      </c>
    </row>
    <row r="179" spans="5:7">
      <c r="E179" s="50" t="s">
        <v>605</v>
      </c>
      <c r="F179" s="49">
        <f>COUNTIF('Mediation Dataset (Sudans)'!$G$2:$G$1222, "ACCORD")</f>
        <v>1</v>
      </c>
      <c r="G179" s="49">
        <f>(F179/F222)*100</f>
        <v>0.27777777777777779</v>
      </c>
    </row>
    <row r="180" spans="5:7">
      <c r="E180" s="50" t="s">
        <v>610</v>
      </c>
      <c r="F180" s="49">
        <f>COUNTIF('Mediation Dataset (Sudans)'!$G$2:$G$1222, "African Development Bank")</f>
        <v>5</v>
      </c>
      <c r="G180" s="49">
        <f>(F180/F222)*100</f>
        <v>1.3888888888888888</v>
      </c>
    </row>
    <row r="181" spans="5:7">
      <c r="E181" s="50" t="s">
        <v>611</v>
      </c>
      <c r="F181" s="49">
        <f>COUNTIF('Mediation Dataset (Sudans)'!$G$2:$G$1222, "Canada")</f>
        <v>5</v>
      </c>
      <c r="G181" s="49">
        <f>(F181/F222)*100</f>
        <v>1.3888888888888888</v>
      </c>
    </row>
    <row r="182" spans="5:7">
      <c r="E182" s="50" t="s">
        <v>613</v>
      </c>
      <c r="F182" s="49">
        <f>COUNTIF('Mediation Dataset (Sudans)'!$G$2:$G$1222, "Kuwait")</f>
        <v>4</v>
      </c>
      <c r="G182" s="49">
        <f>(F182/F222)*100</f>
        <v>1.1111111111111112</v>
      </c>
    </row>
    <row r="183" spans="5:7">
      <c r="E183" s="50" t="s">
        <v>616</v>
      </c>
      <c r="F183" s="49">
        <f>COUNTIF('Mediation Dataset (Sudans)'!$G$2:$G$1222, "World Bank")</f>
        <v>4</v>
      </c>
      <c r="G183" s="49">
        <f>(F183/F222)*100</f>
        <v>1.1111111111111112</v>
      </c>
    </row>
    <row r="184" spans="5:7">
      <c r="E184" s="50" t="s">
        <v>663</v>
      </c>
      <c r="F184" s="49">
        <f>COUNTIF('Mediation Dataset (Sudans)'!$G$2:$G$1222, "Belgium")</f>
        <v>2</v>
      </c>
      <c r="G184" s="49">
        <f>(F184/F222)*100</f>
        <v>0.55555555555555558</v>
      </c>
    </row>
    <row r="185" spans="5:7">
      <c r="E185" s="50" t="s">
        <v>664</v>
      </c>
      <c r="F185" s="49">
        <f>COUNTIF('Mediation Dataset (Sudans)'!$G$2:$G$1222, "Croatia")</f>
        <v>2</v>
      </c>
      <c r="G185" s="49">
        <f>(F185/F222)*100</f>
        <v>0.55555555555555558</v>
      </c>
    </row>
    <row r="186" spans="5:7">
      <c r="E186" s="50" t="s">
        <v>665</v>
      </c>
      <c r="F186" s="49">
        <f>COUNTIF('Mediation Dataset (Sudans)'!$G$2:$G$1222, "Czechia")</f>
        <v>2</v>
      </c>
      <c r="G186" s="49">
        <f>(F186/F222)*100</f>
        <v>0.55555555555555558</v>
      </c>
    </row>
    <row r="187" spans="5:7">
      <c r="E187" s="50" t="s">
        <v>666</v>
      </c>
      <c r="F187" s="49">
        <f>COUNTIF('Mediation Dataset (Sudans)'!$G$2:$G$1222, "Denmark")</f>
        <v>2</v>
      </c>
      <c r="G187" s="49">
        <f>(F187/F222)*100</f>
        <v>0.55555555555555558</v>
      </c>
    </row>
    <row r="188" spans="5:7">
      <c r="E188" s="50" t="s">
        <v>667</v>
      </c>
      <c r="F188" s="49">
        <f>COUNTIF('Mediation Dataset (Sudans)'!$G$2:$G$1222, "Estonia")</f>
        <v>2</v>
      </c>
      <c r="G188" s="49">
        <f>(F188/F222)*100</f>
        <v>0.55555555555555558</v>
      </c>
    </row>
    <row r="189" spans="5:7">
      <c r="E189" s="50" t="s">
        <v>668</v>
      </c>
      <c r="F189" s="49">
        <f>COUNTIF('Mediation Dataset (Sudans)'!$G$2:$G$1222, "Finland")</f>
        <v>2</v>
      </c>
      <c r="G189" s="49">
        <f>(F189/F222)*100</f>
        <v>0.55555555555555558</v>
      </c>
    </row>
    <row r="190" spans="5:7">
      <c r="E190" s="50" t="s">
        <v>669</v>
      </c>
      <c r="F190" s="49">
        <f>COUNTIF('Mediation Dataset (Sudans)'!$G$2:$G$1222, "Greece")</f>
        <v>2</v>
      </c>
      <c r="G190" s="49">
        <f>(F190/F222)*100</f>
        <v>0.55555555555555558</v>
      </c>
    </row>
    <row r="191" spans="5:7">
      <c r="E191" s="50" t="s">
        <v>670</v>
      </c>
      <c r="F191" s="49">
        <f>COUNTIF('Mediation Dataset (Sudans)'!$G$2:$G$1222, "Hungary")</f>
        <v>2</v>
      </c>
      <c r="G191" s="49">
        <f>(F191/F222)*100</f>
        <v>0.55555555555555558</v>
      </c>
    </row>
    <row r="192" spans="5:7">
      <c r="E192" s="50" t="s">
        <v>672</v>
      </c>
      <c r="F192" s="49">
        <f>COUNTIF('Mediation Dataset (Sudans)'!$G$2:$G$1222, "Lithuania")</f>
        <v>2</v>
      </c>
      <c r="G192" s="49">
        <f>(F192/F222)*100</f>
        <v>0.55555555555555558</v>
      </c>
    </row>
    <row r="193" spans="5:7">
      <c r="E193" s="50" t="s">
        <v>673</v>
      </c>
      <c r="F193" s="49">
        <f>COUNTIF('Mediation Dataset (Sudans)'!$G$2:$G$1222, "Malta")</f>
        <v>2</v>
      </c>
      <c r="G193" s="49">
        <f>(F193/F222)*100</f>
        <v>0.55555555555555558</v>
      </c>
    </row>
    <row r="194" spans="5:7">
      <c r="E194" s="50" t="s">
        <v>674</v>
      </c>
      <c r="F194" s="49">
        <f>COUNTIF('Mediation Dataset (Sudans)'!$G$2:$G$1222, "Poland")</f>
        <v>2</v>
      </c>
      <c r="G194" s="49">
        <f>(F194/F222)*100</f>
        <v>0.55555555555555558</v>
      </c>
    </row>
    <row r="195" spans="5:7">
      <c r="E195" s="50" t="s">
        <v>675</v>
      </c>
      <c r="F195" s="49">
        <f>COUNTIF('Mediation Dataset (Sudans)'!$G$2:$G$1222, "Portugal")</f>
        <v>2</v>
      </c>
      <c r="G195" s="49">
        <f>(F195/F222)*100</f>
        <v>0.55555555555555558</v>
      </c>
    </row>
    <row r="196" spans="5:7">
      <c r="E196" s="50" t="s">
        <v>676</v>
      </c>
      <c r="F196" s="49">
        <f>COUNTIF('Mediation Dataset (Sudans)'!$G$2:$G$1222, "The Republic of Korea")</f>
        <v>2</v>
      </c>
      <c r="G196" s="49">
        <f>(F196/F222)*100</f>
        <v>0.55555555555555558</v>
      </c>
    </row>
    <row r="197" spans="5:7">
      <c r="E197" s="50" t="s">
        <v>677</v>
      </c>
      <c r="F197" s="49">
        <f>COUNTIF('Mediation Dataset (Sudans)'!$G$2:$G$1222, "Slovenia")</f>
        <v>2</v>
      </c>
      <c r="G197" s="49">
        <f>(F197/F222)*100</f>
        <v>0.55555555555555558</v>
      </c>
    </row>
    <row r="198" spans="5:7">
      <c r="E198" s="50" t="s">
        <v>678</v>
      </c>
      <c r="F198" s="49">
        <f>COUNTIF('Mediation Dataset (Sudans)'!$G$2:$G$1222, "Arab Fund for Social Development")</f>
        <v>2</v>
      </c>
      <c r="G198" s="49">
        <f>(F198/F222)*100</f>
        <v>0.55555555555555558</v>
      </c>
    </row>
    <row r="199" spans="5:7">
      <c r="E199" s="50" t="s">
        <v>679</v>
      </c>
      <c r="F199" s="49">
        <f>COUNTIF('Mediation Dataset (Sudans)'!$G$2:$G$1222, "IMF")</f>
        <v>3</v>
      </c>
      <c r="G199" s="49">
        <f>(F199/F222)*100</f>
        <v>0.83333333333333337</v>
      </c>
    </row>
    <row r="200" spans="5:7">
      <c r="E200" s="50" t="s">
        <v>680</v>
      </c>
      <c r="F200" s="49">
        <f>COUNTIF('Mediation Dataset (Sudans)'!$G$2:$G$1222, "Islamic Development Bank")</f>
        <v>2</v>
      </c>
      <c r="G200" s="49">
        <f>(F200/F222)*100</f>
        <v>0.55555555555555558</v>
      </c>
    </row>
    <row r="201" spans="5:7">
      <c r="E201" s="50" t="s">
        <v>739</v>
      </c>
      <c r="F201" s="49">
        <f>COUNTIF('Mediation Dataset (Sudans)'!$G$2:$G$1222, "The Native Administration")</f>
        <v>1</v>
      </c>
      <c r="G201" s="49">
        <f>(F201/F222)*100</f>
        <v>0.27777777777777779</v>
      </c>
    </row>
    <row r="202" spans="5:7">
      <c r="E202" s="50" t="s">
        <v>740</v>
      </c>
      <c r="F202" s="49">
        <f>COUNTIF('Mediation Dataset (Sudans)'!$G$2:$G$1222, "The Peaceful Co-Existence Committee")</f>
        <v>1</v>
      </c>
      <c r="G202" s="49">
        <f>(F202/F222)*100</f>
        <v>0.27777777777777779</v>
      </c>
    </row>
    <row r="203" spans="5:7">
      <c r="E203" s="50" t="s">
        <v>910</v>
      </c>
      <c r="F203" s="49">
        <f>COUNTIF('Mediation Dataset (Sudans)'!$G$2:$G$1222, "Burundi")</f>
        <v>1</v>
      </c>
      <c r="G203" s="49">
        <f>(F203/F222)*100</f>
        <v>0.27777777777777779</v>
      </c>
    </row>
    <row r="204" spans="5:7">
      <c r="E204" s="50" t="s">
        <v>902</v>
      </c>
      <c r="F204" s="49">
        <f>COUNTIF('Mediation Dataset (Sudans)'!$G$2:$G$1222, "Equatorial Guinea")</f>
        <v>1</v>
      </c>
      <c r="G204" s="49">
        <f>(F204/F222)*100</f>
        <v>0.27777777777777779</v>
      </c>
    </row>
    <row r="205" spans="5:7">
      <c r="E205" s="50" t="s">
        <v>903</v>
      </c>
      <c r="F205" s="49">
        <f>COUNTIF('Mediation Dataset (Sudans)'!$G$2:$G$1222, "Lesotho")</f>
        <v>1</v>
      </c>
      <c r="G205" s="49">
        <f>(F205/F222)*100</f>
        <v>0.27777777777777779</v>
      </c>
    </row>
    <row r="206" spans="5:7">
      <c r="E206" s="50" t="s">
        <v>904</v>
      </c>
      <c r="F206" s="49">
        <f>COUNTIF('Mediation Dataset (Sudans)'!$G$2:$G$1222, "Morocco")</f>
        <v>1</v>
      </c>
      <c r="G206" s="49">
        <f>(F206/F222)*100</f>
        <v>0.27777777777777779</v>
      </c>
    </row>
    <row r="207" spans="5:7">
      <c r="E207" s="50" t="s">
        <v>905</v>
      </c>
      <c r="F207" s="49">
        <f>COUNTIF('Mediation Dataset (Sudans)'!$G$2:$G$1222, "Togo")</f>
        <v>1</v>
      </c>
      <c r="G207" s="49">
        <f>(F207/F222)*100</f>
        <v>0.27777777777777779</v>
      </c>
    </row>
    <row r="208" spans="5:7">
      <c r="E208" s="50" t="s">
        <v>906</v>
      </c>
      <c r="F208" s="49">
        <f>COUNTIF('Mediation Dataset (Sudans)'!$G$2:$G$1222, "Gabon")</f>
        <v>1</v>
      </c>
      <c r="G208" s="49">
        <f>(F208/F222)*100</f>
        <v>0.27777777777777779</v>
      </c>
    </row>
    <row r="209" spans="5:7">
      <c r="E209" s="50" t="s">
        <v>907</v>
      </c>
      <c r="F209" s="49">
        <f>COUNTIF('Mediation Dataset (Sudans)'!$G$2:$G$1222, "Liberia")</f>
        <v>1</v>
      </c>
      <c r="G209" s="49">
        <f>(F209/F222)*100</f>
        <v>0.27777777777777779</v>
      </c>
    </row>
    <row r="210" spans="5:7">
      <c r="E210" s="50" t="s">
        <v>908</v>
      </c>
      <c r="F210" s="49">
        <f>COUNTIF('Mediation Dataset (Sudans)'!$G$2:$G$1222, "Sierra Leone")</f>
        <v>1</v>
      </c>
      <c r="G210" s="49">
        <f>(F210/F222)*100</f>
        <v>0.27777777777777779</v>
      </c>
    </row>
    <row r="211" spans="5:7">
      <c r="E211" s="50" t="s">
        <v>909</v>
      </c>
      <c r="F211" s="49">
        <f>COUNTIF('Mediation Dataset (Sudans)'!$G$2:$G$1222, "Zimbabwe")</f>
        <v>1</v>
      </c>
      <c r="G211" s="49">
        <f>(F211/F222)*100</f>
        <v>0.27777777777777779</v>
      </c>
    </row>
    <row r="212" spans="5:7">
      <c r="E212" s="50" t="s">
        <v>927</v>
      </c>
      <c r="F212" s="49">
        <f>COUNTIF('Mediation Dataset (Sudans)'!$G$2:$G$1222, "Christian Relief")</f>
        <v>1</v>
      </c>
      <c r="G212" s="49">
        <f>(F212/F222)*100</f>
        <v>0.27777777777777779</v>
      </c>
    </row>
    <row r="213" spans="5:7">
      <c r="E213" s="49" t="s">
        <v>941</v>
      </c>
      <c r="F213" s="49">
        <f>COUNTIF('Mediation Dataset (Sudans)'!$G$2:$G$1222, "Abyei businessmen")</f>
        <v>1</v>
      </c>
      <c r="G213" s="49">
        <f>(F213/F222)*100</f>
        <v>0.27777777777777779</v>
      </c>
    </row>
    <row r="214" spans="5:7">
      <c r="E214" s="50" t="s">
        <v>1131</v>
      </c>
      <c r="F214" s="49">
        <f>COUNTIF('Mediation Dataset (Sudans)'!$G$2:$G$1222, "RJMEC")</f>
        <v>10</v>
      </c>
      <c r="G214" s="49">
        <f>(F214/F222)*100</f>
        <v>2.7777777777777777</v>
      </c>
    </row>
    <row r="215" spans="5:7">
      <c r="E215" s="50" t="s">
        <v>609</v>
      </c>
      <c r="F215" s="49">
        <f>COUNTIF('Mediation Dataset (Sudans)'!$G$2:$G$1222, "ICC")</f>
        <v>1</v>
      </c>
      <c r="G215" s="49">
        <f>(F215/F222)*100</f>
        <v>0.27777777777777779</v>
      </c>
    </row>
    <row r="216" spans="5:7">
      <c r="E216" s="50" t="s">
        <v>973</v>
      </c>
      <c r="F216" s="49">
        <f>COUNTIF('Mediation Dataset (Sudans)'!$G$2:$G$1222, "South Sudanese religious leaders")</f>
        <v>1</v>
      </c>
      <c r="G216" s="49">
        <f>(F216/F222)*100</f>
        <v>0.27777777777777779</v>
      </c>
    </row>
    <row r="217" spans="5:7">
      <c r="E217" s="50" t="s">
        <v>1006</v>
      </c>
      <c r="F217" s="49">
        <f>COUNTIF('Mediation Dataset (Sudans)'!$G$2:$G$1222, "African Diplomatic Corps")</f>
        <v>3</v>
      </c>
      <c r="G217" s="49">
        <f>(F217/F222)*100</f>
        <v>0.83333333333333337</v>
      </c>
    </row>
    <row r="218" spans="5:7">
      <c r="E218" s="50" t="s">
        <v>1025</v>
      </c>
      <c r="F218" s="49">
        <f>COUNTIF('Mediation Dataset (Sudans)'!$G$2:$G$1222, "Türkiye")</f>
        <v>3</v>
      </c>
      <c r="G218" s="49">
        <f>(F218/F222)*100</f>
        <v>0.83333333333333337</v>
      </c>
    </row>
    <row r="219" spans="5:7">
      <c r="E219" s="50" t="s">
        <v>1054</v>
      </c>
      <c r="F219" s="49">
        <f>COUNTIF('Mediation Dataset (Sudans)'!$G$2:$G$1222, "CTSAMVM")</f>
        <v>1</v>
      </c>
      <c r="G219" s="49">
        <f>(F219/F222)*100</f>
        <v>0.27777777777777779</v>
      </c>
    </row>
    <row r="220" spans="5:7">
      <c r="E220" s="50" t="s">
        <v>846</v>
      </c>
      <c r="F220" s="49">
        <f>COUNTIF('Mediation Dataset (Sudans)'!$G$2:$G$1222, "National Democratic Institute")</f>
        <v>1</v>
      </c>
      <c r="G220" s="49">
        <f>(F220/F222)*100</f>
        <v>0.27777777777777779</v>
      </c>
    </row>
    <row r="221" spans="5:7">
      <c r="E221" s="49"/>
      <c r="F221" s="49"/>
      <c r="G221" s="49"/>
    </row>
    <row r="222" spans="5:7">
      <c r="E222" s="51" t="s">
        <v>1181</v>
      </c>
      <c r="F222" s="49">
        <v>360</v>
      </c>
      <c r="G222" s="49"/>
    </row>
    <row r="225" spans="3:19">
      <c r="C225" s="31"/>
      <c r="D225" s="31"/>
      <c r="E225" s="32" t="s">
        <v>1200</v>
      </c>
      <c r="F225" s="31"/>
      <c r="G225" s="31"/>
      <c r="I225" s="36" t="s">
        <v>1201</v>
      </c>
      <c r="J225" s="37"/>
      <c r="K225" s="37"/>
      <c r="M225" s="40" t="s">
        <v>1202</v>
      </c>
      <c r="N225" s="41"/>
      <c r="O225" s="41"/>
      <c r="Q225" s="44" t="s">
        <v>1203</v>
      </c>
      <c r="R225" s="45"/>
      <c r="S225" s="45"/>
    </row>
    <row r="226" spans="3:19">
      <c r="C226" s="31"/>
      <c r="D226" s="31"/>
      <c r="E226" s="33" t="s">
        <v>1180</v>
      </c>
      <c r="F226" s="33" t="s">
        <v>1182</v>
      </c>
      <c r="G226" s="33" t="s">
        <v>1183</v>
      </c>
      <c r="I226" s="2" t="s">
        <v>1180</v>
      </c>
      <c r="J226" s="2" t="s">
        <v>1182</v>
      </c>
      <c r="K226" s="2" t="s">
        <v>1183</v>
      </c>
      <c r="M226" s="5" t="s">
        <v>1180</v>
      </c>
      <c r="N226" s="5" t="s">
        <v>1182</v>
      </c>
      <c r="O226" s="5" t="s">
        <v>1183</v>
      </c>
      <c r="Q226" s="6" t="s">
        <v>1180</v>
      </c>
      <c r="R226" s="6" t="s">
        <v>1182</v>
      </c>
      <c r="S226" s="6" t="s">
        <v>1183</v>
      </c>
    </row>
    <row r="227" spans="3:19">
      <c r="C227" s="31"/>
      <c r="D227" s="31"/>
      <c r="E227" s="31" t="s">
        <v>22</v>
      </c>
      <c r="F227" s="31">
        <f>COUNTIF('Mediation Dataset (Sudans)'!$G$2:$G$1222, "Ethiopia")</f>
        <v>78</v>
      </c>
      <c r="G227" s="31">
        <f>(F227/F273)*100</f>
        <v>6.3934426229508192</v>
      </c>
      <c r="I227" s="38" t="s">
        <v>37</v>
      </c>
      <c r="J227" s="37">
        <f>COUNTIF('Mediation Dataset (Sudans)'!$G$2:$G$1222, "UN")</f>
        <v>134</v>
      </c>
      <c r="K227" s="37">
        <f>(J227/J265)*100</f>
        <v>10.983606557377049</v>
      </c>
      <c r="M227" s="42" t="s">
        <v>158</v>
      </c>
      <c r="N227" s="41">
        <f>COUNTIF('Mediation Dataset (Sudans)'!$G$2:$G$1222, "Carter Center")</f>
        <v>1</v>
      </c>
      <c r="O227" s="41">
        <f>(N227/N252)*100</f>
        <v>8.1967213114754092E-2</v>
      </c>
      <c r="Q227" s="45" t="s">
        <v>22</v>
      </c>
      <c r="R227" s="45">
        <f>COUNTIF('Mediation Dataset (Sudans)'!$G$2:$G$1222, "Ethiopia")</f>
        <v>78</v>
      </c>
      <c r="S227" s="45">
        <f>(R227/R332)*100</f>
        <v>21.666666666666668</v>
      </c>
    </row>
    <row r="228" spans="3:19">
      <c r="C228" s="31"/>
      <c r="D228" s="31"/>
      <c r="E228" s="34" t="s">
        <v>182</v>
      </c>
      <c r="F228" s="31">
        <f>COUNTIF('Mediation Dataset (Sudans)'!$G$2:$G$1222, "OAU")</f>
        <v>2</v>
      </c>
      <c r="G228" s="31">
        <f>(F228/F273)*100</f>
        <v>0.16393442622950818</v>
      </c>
      <c r="I228" s="38" t="s">
        <v>193</v>
      </c>
      <c r="J228" s="37">
        <f>COUNTIF('Mediation Dataset (Sudans)'!$G$2:$G$1222, "United States of America")</f>
        <v>65</v>
      </c>
      <c r="K228" s="37">
        <f>(J228/J265)*100</f>
        <v>5.3278688524590159</v>
      </c>
      <c r="M228" s="42" t="s">
        <v>273</v>
      </c>
      <c r="N228" s="41">
        <f>COUNTIF('Mediation Dataset (Sudans)'!$G$2:$G$1222, "Fashoda Relief")</f>
        <v>1</v>
      </c>
      <c r="O228" s="41">
        <f>(N228/N252)*100</f>
        <v>8.1967213114754092E-2</v>
      </c>
      <c r="Q228" s="46" t="s">
        <v>37</v>
      </c>
      <c r="R228" s="45">
        <f>COUNTIF('Mediation Dataset (Sudans)'!$G$2:$G$1222, "UN")</f>
        <v>134</v>
      </c>
      <c r="S228" s="45">
        <f>(R228/R332)*100</f>
        <v>37.222222222222221</v>
      </c>
    </row>
    <row r="229" spans="3:19">
      <c r="C229" s="26" t="s">
        <v>1189</v>
      </c>
      <c r="D229" s="31"/>
      <c r="E229" s="25" t="s">
        <v>151</v>
      </c>
      <c r="F229" s="31">
        <f>COUNTIF('Mediation Dataset (Sudans)'!$G$2:$G$1222, "Nigeria")</f>
        <v>7</v>
      </c>
      <c r="G229" s="31">
        <f>(F229/F273)*100</f>
        <v>0.57377049180327866</v>
      </c>
      <c r="I229" s="38" t="s">
        <v>151</v>
      </c>
      <c r="J229" s="37">
        <f>COUNTIF('Mediation Dataset (Sudans)'!$G$2:$G$1222, "Nigeria")</f>
        <v>7</v>
      </c>
      <c r="K229" s="37">
        <f>(J229/J265)*100</f>
        <v>0.57377049180327866</v>
      </c>
      <c r="M229" s="42" t="s">
        <v>281</v>
      </c>
      <c r="N229" s="41">
        <f>COUNTIF('Mediation Dataset (Sudans)'!$G$2:$G$1222, "NGO consortium")</f>
        <v>1</v>
      </c>
      <c r="O229" s="41">
        <f>(N229/N252)*100</f>
        <v>8.1967213114754092E-2</v>
      </c>
      <c r="Q229" s="46" t="s">
        <v>193</v>
      </c>
      <c r="R229" s="45">
        <f>COUNTIF('Mediation Dataset (Sudans)'!$G$2:$G$1222, "United States of America")</f>
        <v>65</v>
      </c>
      <c r="S229" s="45">
        <f>(R229/R332)*100</f>
        <v>18.055555555555554</v>
      </c>
    </row>
    <row r="230" spans="3:19">
      <c r="C230" s="31"/>
      <c r="D230" s="31"/>
      <c r="E230" s="34" t="s">
        <v>35</v>
      </c>
      <c r="F230" s="31">
        <f>COUNTIF('Mediation Dataset (Sudans)'!$G$2:$G$1222, "IGAD")</f>
        <v>101</v>
      </c>
      <c r="G230" s="31">
        <f>(F230/F273)*100</f>
        <v>8.278688524590164</v>
      </c>
      <c r="I230" s="38" t="s">
        <v>158</v>
      </c>
      <c r="J230" s="37">
        <f>COUNTIF('Mediation Dataset (Sudans)'!$G$2:$G$1222, "Carter Center")</f>
        <v>1</v>
      </c>
      <c r="K230" s="37">
        <f>(J230/J265)*100</f>
        <v>8.1967213114754092E-2</v>
      </c>
      <c r="M230" s="42" t="s">
        <v>159</v>
      </c>
      <c r="N230" s="41">
        <f>COUNTIF('Mediation Dataset (Sudans)'!$G$2:$G$1222, "Abel Alier")</f>
        <v>1</v>
      </c>
      <c r="O230" s="41">
        <f>(N230/N252)*100</f>
        <v>8.1967213114754092E-2</v>
      </c>
      <c r="Q230" s="46" t="s">
        <v>182</v>
      </c>
      <c r="R230" s="45">
        <f>COUNTIF('Mediation Dataset (Sudans)'!$G$2:$G$1222, "OAU")</f>
        <v>2</v>
      </c>
      <c r="S230" s="45">
        <f>(R230/R332)*100</f>
        <v>0.55555555555555558</v>
      </c>
    </row>
    <row r="231" spans="3:19">
      <c r="C231" s="31"/>
      <c r="D231" s="31"/>
      <c r="E231" s="34" t="s">
        <v>152</v>
      </c>
      <c r="F231" s="31">
        <f>COUNTIF('Mediation Dataset (Sudans)'!$G$2:$G$1222, "Kenya")</f>
        <v>69</v>
      </c>
      <c r="G231" s="31">
        <f>(F231/F273)*100</f>
        <v>5.6557377049180326</v>
      </c>
      <c r="I231" s="38" t="s">
        <v>196</v>
      </c>
      <c r="J231" s="37">
        <f>COUNTIF('Mediation Dataset (Sudans)'!$G$2:$G$1222, "South Africa")</f>
        <v>7</v>
      </c>
      <c r="K231" s="37">
        <f>(J231/J265)*100</f>
        <v>0.57377049180327866</v>
      </c>
      <c r="M231" s="42" t="s">
        <v>162</v>
      </c>
      <c r="N231" s="41">
        <f>COUNTIF('Mediation Dataset (Sudans)'!$G$2:$G$1222, "Darfur Security Committee")</f>
        <v>1</v>
      </c>
      <c r="O231" s="41">
        <f>(N231/N252)*100</f>
        <v>8.1967213114754092E-2</v>
      </c>
      <c r="Q231" s="46" t="s">
        <v>151</v>
      </c>
      <c r="R231" s="45">
        <f>COUNTIF('Mediation Dataset (Sudans)'!$G$2:$G$1222, "Nigeria")</f>
        <v>7</v>
      </c>
      <c r="S231" s="45">
        <f>(R231/R332)*100</f>
        <v>1.9444444444444444</v>
      </c>
    </row>
    <row r="232" spans="3:19">
      <c r="C232" s="31"/>
      <c r="D232" s="31"/>
      <c r="E232" s="34" t="s">
        <v>191</v>
      </c>
      <c r="F232" s="31">
        <f>COUNTIF('Mediation Dataset (Sudans)'!$G$2:$G$1222, "Eritrea")</f>
        <v>59</v>
      </c>
      <c r="G232" s="31">
        <f>(F232/F273)*100</f>
        <v>4.8360655737704921</v>
      </c>
      <c r="I232" s="38" t="s">
        <v>153</v>
      </c>
      <c r="J232" s="37">
        <f>COUNTIF('Mediation Dataset (Sudans)'!$G$2:$G$1222, "Switzerland")</f>
        <v>5</v>
      </c>
      <c r="K232" s="37">
        <f>(J232/J265)*100</f>
        <v>0.4098360655737705</v>
      </c>
      <c r="M232" s="42" t="s">
        <v>163</v>
      </c>
      <c r="N232" s="41">
        <f>COUNTIF('Mediation Dataset (Sudans)'!$G$2:$G$1222, "Episcopal Church of Sudan")</f>
        <v>1</v>
      </c>
      <c r="O232" s="41">
        <f>(N232/N252)*100</f>
        <v>8.1967213114754092E-2</v>
      </c>
      <c r="Q232" s="46" t="s">
        <v>35</v>
      </c>
      <c r="R232" s="45">
        <f>COUNTIF('Mediation Dataset (Sudans)'!$G$2:$G$1222, "IGAD")</f>
        <v>101</v>
      </c>
      <c r="S232" s="45">
        <f>(R232/R332)*100</f>
        <v>28.055555555555557</v>
      </c>
    </row>
    <row r="233" spans="3:19">
      <c r="C233" s="31"/>
      <c r="D233" s="31"/>
      <c r="E233" s="34" t="s">
        <v>192</v>
      </c>
      <c r="F233" s="31">
        <f>COUNTIF('Mediation Dataset (Sudans)'!$G$2:$G$1222, "Uganda")</f>
        <v>69</v>
      </c>
      <c r="G233" s="31">
        <f>(F233/F273)*100</f>
        <v>5.6557377049180326</v>
      </c>
      <c r="I233" s="38" t="s">
        <v>202</v>
      </c>
      <c r="J233" s="37">
        <f>COUNTIF('Mediation Dataset (Sudans)'!$G$2:$G$1222, "United Kingdom")</f>
        <v>55</v>
      </c>
      <c r="K233" s="37">
        <f>(J233/J265)*100</f>
        <v>4.5081967213114753</v>
      </c>
      <c r="M233" s="42" t="s">
        <v>210</v>
      </c>
      <c r="N233" s="41">
        <f>COUNTIF('Mediation Dataset (Sudans)'!$G$2:$G$1222, "South Sudan Council of Churches")</f>
        <v>3</v>
      </c>
      <c r="O233" s="41">
        <f>(N233/N252)*100</f>
        <v>0.24590163934426232</v>
      </c>
      <c r="Q233" s="46" t="s">
        <v>152</v>
      </c>
      <c r="R233" s="45">
        <f>COUNTIF('Mediation Dataset (Sudans)'!$G$2:$G$1222, "Kenya")</f>
        <v>69</v>
      </c>
      <c r="S233" s="45">
        <f>(R233/R332)*100</f>
        <v>19.166666666666668</v>
      </c>
    </row>
    <row r="234" spans="3:19">
      <c r="C234" s="31"/>
      <c r="D234" s="31"/>
      <c r="E234" s="25" t="s">
        <v>196</v>
      </c>
      <c r="F234" s="31">
        <f>COUNTIF('Mediation Dataset (Sudans)'!$G$2:$G$1222, "South Africa")</f>
        <v>7</v>
      </c>
      <c r="G234" s="31">
        <f>(F234/F273)*100</f>
        <v>0.57377049180327866</v>
      </c>
      <c r="I234" s="38" t="s">
        <v>203</v>
      </c>
      <c r="J234" s="37">
        <f>COUNTIF('Mediation Dataset (Sudans)'!$G$2:$G$1222, "Norway")</f>
        <v>54</v>
      </c>
      <c r="K234" s="37">
        <f>(J234/J265)*100</f>
        <v>4.4262295081967213</v>
      </c>
      <c r="M234" s="42" t="s">
        <v>243</v>
      </c>
      <c r="N234" s="41">
        <f>COUNTIF('Mediation Dataset (Sudans)'!$G$2:$G$1222, "James Ellery")</f>
        <v>2</v>
      </c>
      <c r="O234" s="41">
        <f>(N234/N252)*100</f>
        <v>0.16393442622950818</v>
      </c>
      <c r="Q234" s="46" t="s">
        <v>191</v>
      </c>
      <c r="R234" s="45">
        <f>COUNTIF('Mediation Dataset (Sudans)'!$G$2:$G$1222, "Eritrea")</f>
        <v>59</v>
      </c>
      <c r="S234" s="45">
        <f>(R234/R332)*100</f>
        <v>16.388888888888889</v>
      </c>
    </row>
    <row r="235" spans="3:19">
      <c r="C235" s="31"/>
      <c r="D235" s="31"/>
      <c r="E235" s="34" t="s">
        <v>154</v>
      </c>
      <c r="F235" s="31">
        <f>COUNTIF('Mediation Dataset (Sudans)'!$G$2:$G$1222, "Egypt")</f>
        <v>15</v>
      </c>
      <c r="G235" s="31">
        <f>(F235/F273)*100</f>
        <v>1.2295081967213115</v>
      </c>
      <c r="I235" s="38" t="s">
        <v>204</v>
      </c>
      <c r="J235" s="37">
        <f>COUNTIF('Mediation Dataset (Sudans)'!$G$2:$G$1222, "Italy")</f>
        <v>27</v>
      </c>
      <c r="K235" s="37">
        <f>(J235/J265)*100</f>
        <v>2.2131147540983607</v>
      </c>
      <c r="M235" s="41" t="s">
        <v>438</v>
      </c>
      <c r="N235" s="41">
        <f>COUNTIF('Mediation Dataset (Sudans)'!$G$2:$G$1222, "Local Murle elites")</f>
        <v>1</v>
      </c>
      <c r="O235" s="41">
        <f>(N235/N252)*100</f>
        <v>8.1967213114754092E-2</v>
      </c>
      <c r="Q235" s="46" t="s">
        <v>158</v>
      </c>
      <c r="R235" s="45">
        <f>COUNTIF('Mediation Dataset (Sudans)'!$G$2:$G$1222, "Carter Center")</f>
        <v>1</v>
      </c>
      <c r="S235" s="45">
        <f>(R235/R332)*100</f>
        <v>0.27777777777777779</v>
      </c>
    </row>
    <row r="236" spans="3:19">
      <c r="C236" s="31"/>
      <c r="D236" s="31"/>
      <c r="E236" s="34" t="s">
        <v>283</v>
      </c>
      <c r="F236" s="31">
        <f>COUNTIF('Mediation Dataset (Sudans)'!$G$2:$G$1222, "Libya")</f>
        <v>2</v>
      </c>
      <c r="G236" s="31">
        <f>(F236/F273)*100</f>
        <v>0.16393442622950818</v>
      </c>
      <c r="I236" s="38" t="s">
        <v>161</v>
      </c>
      <c r="J236" s="37">
        <f>COUNTIF('Mediation Dataset (Sudans)'!$G$2:$G$1222, "EU")</f>
        <v>29</v>
      </c>
      <c r="K236" s="37">
        <f>(J236/J265)*100</f>
        <v>2.3770491803278686</v>
      </c>
      <c r="M236" s="42" t="s">
        <v>245</v>
      </c>
      <c r="N236" s="41">
        <f>COUNTIF('Mediation Dataset (Sudans)'!$G$2:$G$1222, "Equatorian Church Leaders")</f>
        <v>1</v>
      </c>
      <c r="O236" s="41">
        <f>(N236/N252)*100</f>
        <v>8.1967213114754092E-2</v>
      </c>
      <c r="Q236" s="46" t="s">
        <v>273</v>
      </c>
      <c r="R236" s="45">
        <f>COUNTIF('Mediation Dataset (Sudans)'!$G$2:$G$1222, "Fashoda Relief")</f>
        <v>1</v>
      </c>
      <c r="S236" s="45">
        <f>(R236/R332)*100</f>
        <v>0.27777777777777779</v>
      </c>
    </row>
    <row r="237" spans="3:19">
      <c r="C237" s="31"/>
      <c r="D237" s="31"/>
      <c r="E237" s="34" t="s">
        <v>298</v>
      </c>
      <c r="F237" s="31">
        <f>COUNTIF('Mediation Dataset (Sudans)'!$G$2:$G$1222, "Arab League")</f>
        <v>7</v>
      </c>
      <c r="G237" s="31">
        <f>(F237/F273)*100</f>
        <v>0.57377049180327866</v>
      </c>
      <c r="I237" s="38" t="s">
        <v>326</v>
      </c>
      <c r="J237" s="37">
        <f>COUNTIF('Mediation Dataset (Sudans)'!$G$2:$G$1222, "Benin")</f>
        <v>1</v>
      </c>
      <c r="K237" s="37">
        <f>(J237/J265)*100</f>
        <v>8.1967213114754092E-2</v>
      </c>
      <c r="M237" s="42" t="s">
        <v>244</v>
      </c>
      <c r="N237" s="41">
        <f>COUNTIF('Mediation Dataset (Sudans)'!$G$2:$G$1222, "PAX")</f>
        <v>1</v>
      </c>
      <c r="O237" s="41">
        <f>(N237/N252)*100</f>
        <v>8.1967213114754092E-2</v>
      </c>
      <c r="Q237" s="46" t="s">
        <v>281</v>
      </c>
      <c r="R237" s="45">
        <f>COUNTIF('Mediation Dataset (Sudans)'!$G$2:$G$1222, "NGO consortium")</f>
        <v>1</v>
      </c>
      <c r="S237" s="45">
        <f>(R237/R332)*100</f>
        <v>0.27777777777777779</v>
      </c>
    </row>
    <row r="238" spans="3:19">
      <c r="C238" s="31"/>
      <c r="D238" s="31"/>
      <c r="E238" s="34" t="s">
        <v>156</v>
      </c>
      <c r="F238" s="31">
        <f>COUNTIF('Mediation Dataset (Sudans)'!$G$2:$G$1222, "Chad")</f>
        <v>17</v>
      </c>
      <c r="G238" s="31">
        <f>(F238/F273)*100</f>
        <v>1.3934426229508197</v>
      </c>
      <c r="I238" s="38" t="s">
        <v>222</v>
      </c>
      <c r="J238" s="37">
        <f>COUNTIF('Mediation Dataset (Sudans)'!$G$2:$G$1222, "France")</f>
        <v>7</v>
      </c>
      <c r="K238" s="37">
        <f>(J238/J265)*100</f>
        <v>0.57377049180327866</v>
      </c>
      <c r="M238" s="42" t="s">
        <v>1173</v>
      </c>
      <c r="N238" s="41">
        <f>COUNTIF('Mediation Dataset (Sudans)'!$G$2:$G$1222, "Norwegian Church Aid")</f>
        <v>1</v>
      </c>
      <c r="O238" s="41">
        <f>(N238/N252)*100</f>
        <v>8.1967213114754092E-2</v>
      </c>
      <c r="Q238" s="46" t="s">
        <v>196</v>
      </c>
      <c r="R238" s="45">
        <f>COUNTIF('Mediation Dataset (Sudans)'!$G$2:$G$1222, "South Africa")</f>
        <v>7</v>
      </c>
      <c r="S238" s="45">
        <f>(R238/R332)*100</f>
        <v>1.9444444444444444</v>
      </c>
    </row>
    <row r="239" spans="3:19">
      <c r="C239" s="31"/>
      <c r="D239" s="31"/>
      <c r="E239" s="34" t="s">
        <v>155</v>
      </c>
      <c r="F239" s="31">
        <f>COUNTIF('Mediation Dataset (Sudans)'!$G$2:$G$1222, "Saudi Arabia")</f>
        <v>10</v>
      </c>
      <c r="G239" s="31">
        <f>(F239/F273)*100</f>
        <v>0.81967213114754101</v>
      </c>
      <c r="I239" s="38" t="s">
        <v>223</v>
      </c>
      <c r="J239" s="37">
        <f>COUNTIF('Mediation Dataset (Sudans)'!$G$2:$G$1222, "Germany")</f>
        <v>15</v>
      </c>
      <c r="K239" s="37">
        <f>(J239/J265)*100</f>
        <v>1.2295081967213115</v>
      </c>
      <c r="M239" s="42" t="s">
        <v>211</v>
      </c>
      <c r="N239" s="41">
        <f>COUNTIF('Mediation Dataset (Sudans)'!$G$2:$G$1222, "Shilluk reth")</f>
        <v>3</v>
      </c>
      <c r="O239" s="41">
        <f>(N239/N252)*100</f>
        <v>0.24590163934426232</v>
      </c>
      <c r="Q239" s="46" t="s">
        <v>159</v>
      </c>
      <c r="R239" s="45">
        <f>COUNTIF('Mediation Dataset (Sudans)'!$G$2:$G$1222, "Abel Alier")</f>
        <v>1</v>
      </c>
      <c r="S239" s="45">
        <f>(R239/R332)*100</f>
        <v>0.27777777777777779</v>
      </c>
    </row>
    <row r="240" spans="3:19">
      <c r="C240" s="31"/>
      <c r="D240" s="31"/>
      <c r="E240" s="34" t="s">
        <v>26</v>
      </c>
      <c r="F240" s="31">
        <f>COUNTIF('Mediation Dataset (Sudans)'!$G$2:$G$1222, "AU")</f>
        <v>96</v>
      </c>
      <c r="G240" s="31">
        <f>(F240/F273)*100</f>
        <v>7.8688524590163942</v>
      </c>
      <c r="I240" s="38" t="s">
        <v>330</v>
      </c>
      <c r="J240" s="37">
        <f>COUNTIF('Mediation Dataset (Sudans)'!$G$2:$G$1222, "Romania")</f>
        <v>3</v>
      </c>
      <c r="K240" s="37">
        <f>(J240/J265)*100</f>
        <v>0.24590163934426232</v>
      </c>
      <c r="M240" s="42" t="s">
        <v>246</v>
      </c>
      <c r="N240" s="41">
        <f>COUNTIF('Mediation Dataset (Sudans)'!$G$2:$G$1222, "South Sudanese Church Leaders")</f>
        <v>1</v>
      </c>
      <c r="O240" s="41">
        <f>(N240/N252)*100</f>
        <v>8.1967213114754092E-2</v>
      </c>
      <c r="Q240" s="46" t="s">
        <v>154</v>
      </c>
      <c r="R240" s="45">
        <f>COUNTIF('Mediation Dataset (Sudans)'!$G$2:$G$1222, "Egypt")</f>
        <v>15</v>
      </c>
      <c r="S240" s="45">
        <f>(R240/R332)*100</f>
        <v>4.1666666666666661</v>
      </c>
    </row>
    <row r="241" spans="3:19">
      <c r="C241" s="31"/>
      <c r="D241" s="31"/>
      <c r="E241" s="34" t="s">
        <v>324</v>
      </c>
      <c r="F241" s="31">
        <f>COUNTIF('Mediation Dataset (Sudans)'!$G$2:$G$1222, "Algeria")</f>
        <v>5</v>
      </c>
      <c r="G241" s="31">
        <f>(F241/F273)*100</f>
        <v>0.4098360655737705</v>
      </c>
      <c r="I241" s="38" t="s">
        <v>331</v>
      </c>
      <c r="J241" s="37">
        <f>COUNTIF('Mediation Dataset (Sudans)'!$G$2:$G$1222, "Spain")</f>
        <v>5</v>
      </c>
      <c r="K241" s="37">
        <f>(J241/J265)*100</f>
        <v>0.4098360655737705</v>
      </c>
      <c r="M241" s="42" t="s">
        <v>965</v>
      </c>
      <c r="N241" s="41">
        <f>COUNTIF('Mediation Dataset (Sudans)'!$G$2:$G$1222, "Community of Sant’ Egidio")</f>
        <v>9</v>
      </c>
      <c r="O241" s="41">
        <f>(N241/N252)*100</f>
        <v>0.73770491803278693</v>
      </c>
      <c r="Q241" s="46" t="s">
        <v>283</v>
      </c>
      <c r="R241" s="45">
        <f>COUNTIF('Mediation Dataset (Sudans)'!$G$2:$G$1222, "Libya")</f>
        <v>2</v>
      </c>
      <c r="S241" s="45">
        <f>(R241/R332)*100</f>
        <v>0.55555555555555558</v>
      </c>
    </row>
    <row r="242" spans="3:19">
      <c r="C242" s="31"/>
      <c r="D242" s="31"/>
      <c r="E242" s="34" t="s">
        <v>325</v>
      </c>
      <c r="F242" s="31">
        <f>COUNTIF('Mediation Dataset (Sudans)'!$G$2:$G$1222, "Angola")</f>
        <v>3</v>
      </c>
      <c r="G242" s="31">
        <f>(F242/F273)*100</f>
        <v>0.24590163934426232</v>
      </c>
      <c r="I242" s="38" t="s">
        <v>377</v>
      </c>
      <c r="J242" s="37">
        <f>COUNTIF('Mediation Dataset (Sudans)'!$G$2:$G$1222, "Netherlands")</f>
        <v>6</v>
      </c>
      <c r="K242" s="37">
        <f>(J242/J265)*100</f>
        <v>0.49180327868852464</v>
      </c>
      <c r="M242" s="42" t="s">
        <v>252</v>
      </c>
      <c r="N242" s="41">
        <f>COUNTIF('Mediation Dataset (Sudans)'!$G$2:$G$1222, "Berghof Foundation")</f>
        <v>3</v>
      </c>
      <c r="O242" s="41">
        <f>(N242/N252)*100</f>
        <v>0.24590163934426232</v>
      </c>
      <c r="Q242" s="46" t="s">
        <v>153</v>
      </c>
      <c r="R242" s="45">
        <f>COUNTIF('Mediation Dataset (Sudans)'!$G$2:$G$1222, "Switzerland")</f>
        <v>5</v>
      </c>
      <c r="S242" s="45">
        <f>(R242/R332)*100</f>
        <v>1.3888888888888888</v>
      </c>
    </row>
    <row r="243" spans="3:19">
      <c r="C243" s="31"/>
      <c r="D243" s="31"/>
      <c r="E243" s="25" t="s">
        <v>326</v>
      </c>
      <c r="F243" s="31">
        <f>COUNTIF('Mediation Dataset (Sudans)'!$G$2:$G$1222, "Benin")</f>
        <v>1</v>
      </c>
      <c r="G243" s="31">
        <f>(F243/F273)*100</f>
        <v>8.1967213114754092E-2</v>
      </c>
      <c r="I243" s="38" t="s">
        <v>671</v>
      </c>
      <c r="J243" s="37">
        <f>COUNTIF('Mediation Dataset (Sudans)'!$G$2:$G$1222, "Ireland")</f>
        <v>4</v>
      </c>
      <c r="K243" s="37">
        <f>(J243/J265)*100</f>
        <v>0.32786885245901637</v>
      </c>
      <c r="M243" s="42" t="s">
        <v>547</v>
      </c>
      <c r="N243" s="41">
        <f>COUNTIF('Mediation Dataset (Sudans)'!$G$2:$G$1222, "ICRC")</f>
        <v>2</v>
      </c>
      <c r="O243" s="41">
        <f>(N243/N252)*100</f>
        <v>0.16393442622950818</v>
      </c>
      <c r="Q243" s="46" t="s">
        <v>202</v>
      </c>
      <c r="R243" s="45">
        <f>COUNTIF('Mediation Dataset (Sudans)'!$G$2:$G$1222, "United Kingdom")</f>
        <v>55</v>
      </c>
      <c r="S243" s="45">
        <f>(R243/R332)*100</f>
        <v>15.277777777777779</v>
      </c>
    </row>
    <row r="244" spans="3:19">
      <c r="C244" s="31"/>
      <c r="D244" s="31"/>
      <c r="E244" s="34" t="s">
        <v>327</v>
      </c>
      <c r="F244" s="31">
        <f>COUNTIF('Mediation Dataset (Sudans)'!$G$2:$G$1222, "Brazil")</f>
        <v>1</v>
      </c>
      <c r="G244" s="31">
        <f>(F244/F273)*100</f>
        <v>8.1967213114754092E-2</v>
      </c>
      <c r="I244" s="38" t="s">
        <v>612</v>
      </c>
      <c r="J244" s="37">
        <f>COUNTIF('Mediation Dataset (Sudans)'!$G$2:$G$1222, "Japan")</f>
        <v>5</v>
      </c>
      <c r="K244" s="37">
        <f>(J244/J265)*100</f>
        <v>0.4098360655737705</v>
      </c>
      <c r="M244" s="42" t="s">
        <v>605</v>
      </c>
      <c r="N244" s="41">
        <f>COUNTIF('Mediation Dataset (Sudans)'!$G$2:$G$1222, "ACCORD")</f>
        <v>1</v>
      </c>
      <c r="O244" s="41">
        <f>(N244/N252)*100</f>
        <v>8.1967213114754092E-2</v>
      </c>
      <c r="Q244" s="46" t="s">
        <v>203</v>
      </c>
      <c r="R244" s="45">
        <f>COUNTIF('Mediation Dataset (Sudans)'!$G$2:$G$1222, "Norway")</f>
        <v>54</v>
      </c>
      <c r="S244" s="45">
        <f>(R244/R332)*100</f>
        <v>15</v>
      </c>
    </row>
    <row r="245" spans="3:19">
      <c r="C245" s="31"/>
      <c r="D245" s="31"/>
      <c r="E245" s="34" t="s">
        <v>328</v>
      </c>
      <c r="F245" s="31">
        <f>COUNTIF('Mediation Dataset (Sudans)'!$G$2:$G$1222, "Pakistan")</f>
        <v>1</v>
      </c>
      <c r="G245" s="31">
        <f>(F245/F273)*100</f>
        <v>8.1967213114754092E-2</v>
      </c>
      <c r="I245" s="38" t="s">
        <v>567</v>
      </c>
      <c r="J245" s="37">
        <f>COUNTIF('Mediation Dataset (Sudans)'!$G$2:$G$1222, "Sweden")</f>
        <v>7</v>
      </c>
      <c r="K245" s="37">
        <f>(J245/J265)*100</f>
        <v>0.57377049180327866</v>
      </c>
      <c r="M245" s="42" t="s">
        <v>739</v>
      </c>
      <c r="N245" s="41">
        <f>COUNTIF('Mediation Dataset (Sudans)'!$G$2:$G$1222, "The Native Administration")</f>
        <v>1</v>
      </c>
      <c r="O245" s="41">
        <f>(N245/N252)*100</f>
        <v>8.1967213114754092E-2</v>
      </c>
      <c r="Q245" s="46" t="s">
        <v>204</v>
      </c>
      <c r="R245" s="45">
        <f>COUNTIF('Mediation Dataset (Sudans)'!$G$2:$G$1222, "Italy")</f>
        <v>27</v>
      </c>
      <c r="S245" s="45">
        <f>(R245/R332)*100</f>
        <v>7.5</v>
      </c>
    </row>
    <row r="246" spans="3:19">
      <c r="C246" s="31"/>
      <c r="D246" s="31"/>
      <c r="E246" s="34" t="s">
        <v>329</v>
      </c>
      <c r="F246" s="31">
        <f>COUNTIF('Mediation Dataset (Sudans)'!$G$2:$G$1222, "Philippines")</f>
        <v>1</v>
      </c>
      <c r="G246" s="31">
        <f>(F246/F273)*100</f>
        <v>8.1967213114754092E-2</v>
      </c>
      <c r="I246" s="38" t="s">
        <v>611</v>
      </c>
      <c r="J246" s="37">
        <f>COUNTIF('Mediation Dataset (Sudans)'!$G$2:$G$1222, "Canada")</f>
        <v>5</v>
      </c>
      <c r="K246" s="37">
        <f>(J246/J265)*100</f>
        <v>0.4098360655737705</v>
      </c>
      <c r="M246" s="42" t="s">
        <v>740</v>
      </c>
      <c r="N246" s="41">
        <f>COUNTIF('Mediation Dataset (Sudans)'!$G$2:$G$1222, "The Peaceful Co-Existence Committee")</f>
        <v>1</v>
      </c>
      <c r="O246" s="41">
        <f>(N246/N252)*100</f>
        <v>8.1967213114754092E-2</v>
      </c>
      <c r="Q246" s="46" t="s">
        <v>298</v>
      </c>
      <c r="R246" s="45">
        <f>COUNTIF('Mediation Dataset (Sudans)'!$G$2:$G$1222, "Arab League")</f>
        <v>7</v>
      </c>
      <c r="S246" s="45">
        <f>(R246/R332)*100</f>
        <v>1.9444444444444444</v>
      </c>
    </row>
    <row r="247" spans="3:19">
      <c r="C247" s="31"/>
      <c r="D247" s="31"/>
      <c r="E247" s="34" t="s">
        <v>62</v>
      </c>
      <c r="F247" s="31">
        <f>COUNTIF('Mediation Dataset (Sudans)'!$G$2:$G$1222, "Russia")</f>
        <v>5</v>
      </c>
      <c r="G247" s="31">
        <f>(F247/F273)*100</f>
        <v>0.4098360655737705</v>
      </c>
      <c r="I247" s="38" t="s">
        <v>616</v>
      </c>
      <c r="J247" s="37">
        <f>COUNTIF('Mediation Dataset (Sudans)'!$G$2:$G$1222, "World Bank")</f>
        <v>4</v>
      </c>
      <c r="K247" s="37">
        <f>(J247/J265)*100</f>
        <v>0.32786885245901637</v>
      </c>
      <c r="M247" s="42" t="s">
        <v>927</v>
      </c>
      <c r="N247" s="41">
        <f>COUNTIF('Mediation Dataset (Sudans)'!$G$2:$G$1222, "Christian Relief")</f>
        <v>1</v>
      </c>
      <c r="O247" s="41">
        <f>(N247/N252)*100</f>
        <v>8.1967213114754092E-2</v>
      </c>
      <c r="Q247" s="46" t="s">
        <v>162</v>
      </c>
      <c r="R247" s="45">
        <f>COUNTIF('Mediation Dataset (Sudans)'!$G$2:$G$1222, "Darfur Security Committee")</f>
        <v>1</v>
      </c>
      <c r="S247" s="45">
        <f>(R247/R332)*100</f>
        <v>0.27777777777777779</v>
      </c>
    </row>
    <row r="248" spans="3:19">
      <c r="C248" s="31"/>
      <c r="D248" s="31"/>
      <c r="E248" s="34" t="s">
        <v>157</v>
      </c>
      <c r="F248" s="31">
        <f>COUNTIF('Mediation Dataset (Sudans)'!$G$2:$G$1222, "Qatar")</f>
        <v>15</v>
      </c>
      <c r="G248" s="31">
        <f>(F248/F273)*100</f>
        <v>1.2295081967213115</v>
      </c>
      <c r="I248" s="38" t="s">
        <v>663</v>
      </c>
      <c r="J248" s="37">
        <f>COUNTIF('Mediation Dataset (Sudans)'!$G$2:$G$1222, "Belgium")</f>
        <v>2</v>
      </c>
      <c r="K248" s="37">
        <f>(J248/J265)*100</f>
        <v>0.16393442622950818</v>
      </c>
      <c r="M248" s="41" t="s">
        <v>941</v>
      </c>
      <c r="N248" s="41">
        <f>COUNTIF('Mediation Dataset (Sudans)'!$G$2:$G$1222, "Abyei businessmen")</f>
        <v>1</v>
      </c>
      <c r="O248" s="41">
        <f>(N248/N252)*100</f>
        <v>8.1967213114754092E-2</v>
      </c>
      <c r="Q248" s="46" t="s">
        <v>156</v>
      </c>
      <c r="R248" s="45">
        <f>COUNTIF('Mediation Dataset (Sudans)'!$G$2:$G$1222, "Chad")</f>
        <v>17</v>
      </c>
      <c r="S248" s="45">
        <f>(R248/R332)*100</f>
        <v>4.7222222222222223</v>
      </c>
    </row>
    <row r="249" spans="3:19">
      <c r="C249" s="31"/>
      <c r="D249" s="31"/>
      <c r="E249" s="34" t="s">
        <v>60</v>
      </c>
      <c r="F249" s="31">
        <f>COUNTIF('Mediation Dataset (Sudans)'!$G$2:$G$1222, "Sudan")</f>
        <v>33</v>
      </c>
      <c r="G249" s="31">
        <f>(F249/F273)*100</f>
        <v>2.7049180327868854</v>
      </c>
      <c r="I249" s="38" t="s">
        <v>664</v>
      </c>
      <c r="J249" s="37">
        <f>COUNTIF('Mediation Dataset (Sudans)'!$G$2:$G$1222, "Croatia")</f>
        <v>2</v>
      </c>
      <c r="K249" s="37">
        <f>(J249/J265)*100</f>
        <v>0.16393442622950818</v>
      </c>
      <c r="M249" s="42" t="s">
        <v>973</v>
      </c>
      <c r="N249" s="41">
        <f>COUNTIF('Mediation Dataset (Sudans)'!$G$2:$G$1222, "South Sudanese religious leaders")</f>
        <v>1</v>
      </c>
      <c r="O249" s="41">
        <f>(N249/N252)*100</f>
        <v>8.1967213114754092E-2</v>
      </c>
      <c r="Q249" s="46" t="s">
        <v>155</v>
      </c>
      <c r="R249" s="45">
        <f>COUNTIF('Mediation Dataset (Sudans)'!$G$2:$G$1222, "Saudi Arabia")</f>
        <v>10</v>
      </c>
      <c r="S249" s="45">
        <f>(R249/R332)*100</f>
        <v>2.7777777777777777</v>
      </c>
    </row>
    <row r="250" spans="3:19">
      <c r="C250" s="31"/>
      <c r="D250" s="31"/>
      <c r="E250" s="34" t="s">
        <v>229</v>
      </c>
      <c r="F250" s="31">
        <f>COUNTIF('Mediation Dataset (Sudans)'!$G$2:$G$1222, "Tanzania")</f>
        <v>1</v>
      </c>
      <c r="G250" s="31">
        <f>(F250/F273)*100</f>
        <v>8.1967213114754092E-2</v>
      </c>
      <c r="I250" s="38" t="s">
        <v>665</v>
      </c>
      <c r="J250" s="37">
        <f>COUNTIF('Mediation Dataset (Sudans)'!$G$2:$G$1222, "Czechia")</f>
        <v>2</v>
      </c>
      <c r="K250" s="37">
        <f>(J250/J265)*100</f>
        <v>0.16393442622950818</v>
      </c>
      <c r="M250" s="42" t="s">
        <v>846</v>
      </c>
      <c r="N250" s="41">
        <f>COUNTIF('Mediation Dataset (Sudans)'!$G$2:$G$1222, "National Democratic Institute")</f>
        <v>1</v>
      </c>
      <c r="O250" s="41">
        <f>(N250/N252)*100</f>
        <v>8.1967213114754092E-2</v>
      </c>
      <c r="Q250" s="46" t="s">
        <v>26</v>
      </c>
      <c r="R250" s="45">
        <f>COUNTIF('Mediation Dataset (Sudans)'!$G$2:$G$1222, "AU")</f>
        <v>96</v>
      </c>
      <c r="S250" s="45">
        <f>(R250/R332)*100</f>
        <v>26.666666666666668</v>
      </c>
    </row>
    <row r="251" spans="3:19">
      <c r="C251" s="31"/>
      <c r="D251" s="31"/>
      <c r="E251" s="34" t="s">
        <v>249</v>
      </c>
      <c r="F251" s="31">
        <f>COUNTIF('Mediation Dataset (Sudans)'!$G$2:$G$1222, "China")</f>
        <v>11</v>
      </c>
      <c r="G251" s="31">
        <f>(F251/F273)*100</f>
        <v>0.90163934426229519</v>
      </c>
      <c r="I251" s="38" t="s">
        <v>666</v>
      </c>
      <c r="J251" s="37">
        <f>COUNTIF('Mediation Dataset (Sudans)'!$G$2:$G$1222, "Denmark")</f>
        <v>2</v>
      </c>
      <c r="K251" s="37">
        <f>(J251/J265)*100</f>
        <v>0.16393442622950818</v>
      </c>
      <c r="M251" s="41"/>
      <c r="N251" s="41"/>
      <c r="O251" s="41"/>
      <c r="Q251" s="46" t="s">
        <v>161</v>
      </c>
      <c r="R251" s="45">
        <f>COUNTIF('Mediation Dataset (Sudans)'!$G$2:$G$1222, "EU")</f>
        <v>29</v>
      </c>
      <c r="S251" s="45">
        <f>(R251/R332)*100</f>
        <v>8.0555555555555554</v>
      </c>
    </row>
    <row r="252" spans="3:19">
      <c r="C252" s="31"/>
      <c r="D252" s="31"/>
      <c r="E252" s="34" t="s">
        <v>484</v>
      </c>
      <c r="F252" s="31">
        <f>COUNTIF('Mediation Dataset (Sudans)'!$G$2:$G$1222, "Djibouti")</f>
        <v>7</v>
      </c>
      <c r="G252" s="31">
        <f>(F252/F273)*100</f>
        <v>0.57377049180327866</v>
      </c>
      <c r="I252" s="38" t="s">
        <v>667</v>
      </c>
      <c r="J252" s="37">
        <f>COUNTIF('Mediation Dataset (Sudans)'!$G$2:$G$1222, "Estonia")</f>
        <v>2</v>
      </c>
      <c r="K252" s="37">
        <f>(J252/J265)*100</f>
        <v>0.16393442622950818</v>
      </c>
      <c r="M252" s="43" t="s">
        <v>1181</v>
      </c>
      <c r="N252" s="41">
        <v>1220</v>
      </c>
      <c r="O252" s="41">
        <f>SUM(O227:O251)</f>
        <v>3.2786885245901636</v>
      </c>
      <c r="Q252" s="46" t="s">
        <v>324</v>
      </c>
      <c r="R252" s="45">
        <f>COUNTIF('Mediation Dataset (Sudans)'!$G$2:$G$1222, "Algeria")</f>
        <v>5</v>
      </c>
      <c r="S252" s="45">
        <f>(R252/R332)*100</f>
        <v>1.3888888888888888</v>
      </c>
    </row>
    <row r="253" spans="3:19">
      <c r="C253" s="31"/>
      <c r="D253" s="31"/>
      <c r="E253" s="34" t="s">
        <v>485</v>
      </c>
      <c r="F253" s="31">
        <f>COUNTIF('Mediation Dataset (Sudans)'!$G$2:$G$1222, "Somalia")</f>
        <v>5</v>
      </c>
      <c r="G253" s="31">
        <f>(F253/F273)*100</f>
        <v>0.4098360655737705</v>
      </c>
      <c r="I253" s="38" t="s">
        <v>668</v>
      </c>
      <c r="J253" s="37">
        <f>COUNTIF('Mediation Dataset (Sudans)'!$G$2:$G$1222, "Finland")</f>
        <v>2</v>
      </c>
      <c r="K253" s="37">
        <f>(J253/J265)*100</f>
        <v>0.16393442622950818</v>
      </c>
      <c r="Q253" s="46" t="s">
        <v>325</v>
      </c>
      <c r="R253" s="45">
        <f>COUNTIF('Mediation Dataset (Sudans)'!$G$2:$G$1222, "Angola")</f>
        <v>3</v>
      </c>
      <c r="S253" s="45">
        <f>(R253/R332)*100</f>
        <v>0.83333333333333337</v>
      </c>
    </row>
    <row r="254" spans="3:19">
      <c r="C254" s="31"/>
      <c r="D254" s="31"/>
      <c r="E254" s="34" t="s">
        <v>482</v>
      </c>
      <c r="F254" s="31">
        <f>COUNTIF('Mediation Dataset (Sudans)'!$G$2:$G$1222, "Rwanda")</f>
        <v>5</v>
      </c>
      <c r="G254" s="31">
        <f>(F254/F273)*100</f>
        <v>0.4098360655737705</v>
      </c>
      <c r="I254" s="38" t="s">
        <v>669</v>
      </c>
      <c r="J254" s="37">
        <f>COUNTIF('Mediation Dataset (Sudans)'!$G$2:$G$1222, "Greece")</f>
        <v>2</v>
      </c>
      <c r="K254" s="37">
        <f>(J254/J265)*100</f>
        <v>0.16393442622950818</v>
      </c>
      <c r="Q254" s="46" t="s">
        <v>326</v>
      </c>
      <c r="R254" s="45">
        <f>COUNTIF('Mediation Dataset (Sudans)'!$G$2:$G$1222, "Benin")</f>
        <v>1</v>
      </c>
      <c r="S254" s="45">
        <f>(R254/R332)*100</f>
        <v>0.27777777777777779</v>
      </c>
    </row>
    <row r="255" spans="3:19">
      <c r="C255" s="31"/>
      <c r="D255" s="31"/>
      <c r="E255" s="34" t="s">
        <v>507</v>
      </c>
      <c r="F255" s="31">
        <f>COUNTIF('Mediation Dataset (Sudans)'!$G$2:$G$1222, "Ghana")</f>
        <v>1</v>
      </c>
      <c r="G255" s="31">
        <f>(F255/F273)*100</f>
        <v>8.1967213114754092E-2</v>
      </c>
      <c r="I255" s="38" t="s">
        <v>670</v>
      </c>
      <c r="J255" s="37">
        <f>COUNTIF('Mediation Dataset (Sudans)'!$G$2:$G$1222, "Hungary")</f>
        <v>2</v>
      </c>
      <c r="K255" s="37">
        <f>(J255/J265)*100</f>
        <v>0.16393442622950818</v>
      </c>
      <c r="Q255" s="46" t="s">
        <v>327</v>
      </c>
      <c r="R255" s="45">
        <f>COUNTIF('Mediation Dataset (Sudans)'!$G$2:$G$1222, "Brazil")</f>
        <v>1</v>
      </c>
      <c r="S255" s="45">
        <f>(R255/R332)*100</f>
        <v>0.27777777777777779</v>
      </c>
    </row>
    <row r="256" spans="3:19">
      <c r="C256" s="31"/>
      <c r="D256" s="31"/>
      <c r="E256" s="34" t="s">
        <v>615</v>
      </c>
      <c r="F256" s="31">
        <f>COUNTIF('Mediation Dataset (Sudans)'!$G$2:$G$1222, "United Arab Emirates")</f>
        <v>10</v>
      </c>
      <c r="G256" s="31">
        <f>(F256/F273)*100</f>
        <v>0.81967213114754101</v>
      </c>
      <c r="I256" s="38" t="s">
        <v>672</v>
      </c>
      <c r="J256" s="37">
        <f>COUNTIF('Mediation Dataset (Sudans)'!$G$2:$G$1222, "Lithuania")</f>
        <v>2</v>
      </c>
      <c r="K256" s="37">
        <f>(J256/J265)*100</f>
        <v>0.16393442622950818</v>
      </c>
      <c r="Q256" s="46" t="s">
        <v>222</v>
      </c>
      <c r="R256" s="45">
        <f>COUNTIF('Mediation Dataset (Sudans)'!$G$2:$G$1222, "France")</f>
        <v>7</v>
      </c>
      <c r="S256" s="45">
        <f>(R256/R332)*100</f>
        <v>1.9444444444444444</v>
      </c>
    </row>
    <row r="257" spans="3:19">
      <c r="C257" s="31"/>
      <c r="D257" s="31"/>
      <c r="E257" s="34" t="s">
        <v>18</v>
      </c>
      <c r="F257" s="31">
        <f>COUNTIF('Mediation Dataset (Sudans)'!$G$2:$G$1222, "South Sudan")</f>
        <v>21</v>
      </c>
      <c r="G257" s="31">
        <f>(F257/F273)*100</f>
        <v>1.7213114754098362</v>
      </c>
      <c r="I257" s="38" t="s">
        <v>673</v>
      </c>
      <c r="J257" s="37">
        <f>COUNTIF('Mediation Dataset (Sudans)'!$G$2:$G$1222, "Malta")</f>
        <v>2</v>
      </c>
      <c r="K257" s="37">
        <f>(J257/J265)*100</f>
        <v>0.16393442622950818</v>
      </c>
      <c r="Q257" s="46" t="s">
        <v>223</v>
      </c>
      <c r="R257" s="45">
        <f>COUNTIF('Mediation Dataset (Sudans)'!$G$2:$G$1222, "Germany")</f>
        <v>15</v>
      </c>
      <c r="S257" s="45">
        <f>(R257/R332)*100</f>
        <v>4.1666666666666661</v>
      </c>
    </row>
    <row r="258" spans="3:19">
      <c r="C258" s="31"/>
      <c r="D258" s="31"/>
      <c r="E258" s="34" t="s">
        <v>613</v>
      </c>
      <c r="F258" s="31">
        <f>COUNTIF('Mediation Dataset (Sudans)'!$G$2:$G$1222, "Kuwait")</f>
        <v>4</v>
      </c>
      <c r="G258" s="31">
        <f>(F258/F273)*100</f>
        <v>0.32786885245901637</v>
      </c>
      <c r="I258" s="38" t="s">
        <v>674</v>
      </c>
      <c r="J258" s="37">
        <f>COUNTIF('Mediation Dataset (Sudans)'!$G$2:$G$1222, "Poland")</f>
        <v>2</v>
      </c>
      <c r="K258" s="37">
        <f>(J258/J265)*100</f>
        <v>0.16393442622950818</v>
      </c>
      <c r="Q258" s="46" t="s">
        <v>328</v>
      </c>
      <c r="R258" s="45">
        <f>COUNTIF('Mediation Dataset (Sudans)'!$G$2:$G$1222, "Pakistan")</f>
        <v>1</v>
      </c>
      <c r="S258" s="45">
        <f>(R258/R332)*100</f>
        <v>0.27777777777777779</v>
      </c>
    </row>
    <row r="259" spans="3:19">
      <c r="C259" s="31"/>
      <c r="D259" s="31"/>
      <c r="E259" s="34" t="s">
        <v>910</v>
      </c>
      <c r="F259" s="31">
        <f>COUNTIF('Mediation Dataset (Sudans)'!$G$2:$G$1222, "Burundi")</f>
        <v>1</v>
      </c>
      <c r="G259" s="31">
        <f>(F259/F273)*100</f>
        <v>8.1967213114754092E-2</v>
      </c>
      <c r="I259" s="38" t="s">
        <v>675</v>
      </c>
      <c r="J259" s="37">
        <f>COUNTIF('Mediation Dataset (Sudans)'!$G$2:$G$1222, "Portugal")</f>
        <v>2</v>
      </c>
      <c r="K259" s="37">
        <f>(J259/J265)*100</f>
        <v>0.16393442622950818</v>
      </c>
      <c r="Q259" s="46" t="s">
        <v>329</v>
      </c>
      <c r="R259" s="45">
        <f>COUNTIF('Mediation Dataset (Sudans)'!$G$2:$G$1222, "Philippines")</f>
        <v>1</v>
      </c>
      <c r="S259" s="45">
        <f>(R259/R332)*100</f>
        <v>0.27777777777777779</v>
      </c>
    </row>
    <row r="260" spans="3:19">
      <c r="C260" s="31"/>
      <c r="D260" s="31"/>
      <c r="E260" s="34" t="s">
        <v>902</v>
      </c>
      <c r="F260" s="31">
        <f>COUNTIF('Mediation Dataset (Sudans)'!$G$2:$G$1222, "Equatorial Guinea")</f>
        <v>1</v>
      </c>
      <c r="G260" s="31">
        <f>(F260/F273)*100</f>
        <v>8.1967213114754092E-2</v>
      </c>
      <c r="I260" s="38" t="s">
        <v>676</v>
      </c>
      <c r="J260" s="37">
        <f>COUNTIF('Mediation Dataset (Sudans)'!$G$2:$G$1222, "The Republic of Korea")</f>
        <v>2</v>
      </c>
      <c r="K260" s="37">
        <f>(J260/J265)*100</f>
        <v>0.16393442622950818</v>
      </c>
      <c r="Q260" s="46" t="s">
        <v>330</v>
      </c>
      <c r="R260" s="45">
        <f>COUNTIF('Mediation Dataset (Sudans)'!$G$2:$G$1222, "Romania")</f>
        <v>3</v>
      </c>
      <c r="S260" s="45">
        <f>(R260/R332)*100</f>
        <v>0.83333333333333337</v>
      </c>
    </row>
    <row r="261" spans="3:19">
      <c r="C261" s="31"/>
      <c r="D261" s="31"/>
      <c r="E261" s="34" t="s">
        <v>903</v>
      </c>
      <c r="F261" s="31">
        <f>COUNTIF('Mediation Dataset (Sudans)'!$G$2:$G$1222, "Lesotho")</f>
        <v>1</v>
      </c>
      <c r="G261" s="31">
        <f>(F261/F273)*100</f>
        <v>8.1967213114754092E-2</v>
      </c>
      <c r="I261" s="38" t="s">
        <v>677</v>
      </c>
      <c r="J261" s="37">
        <f>COUNTIF('Mediation Dataset (Sudans)'!$G$2:$G$1222, "Slovenia")</f>
        <v>2</v>
      </c>
      <c r="K261" s="37">
        <f>(J261/J265)*100</f>
        <v>0.16393442622950818</v>
      </c>
      <c r="Q261" s="46" t="s">
        <v>62</v>
      </c>
      <c r="R261" s="45">
        <f>COUNTIF('Mediation Dataset (Sudans)'!$G$2:$G$1222, "Russia")</f>
        <v>5</v>
      </c>
      <c r="S261" s="45">
        <f>(R261/R332)*100</f>
        <v>1.3888888888888888</v>
      </c>
    </row>
    <row r="262" spans="3:19">
      <c r="C262" s="31"/>
      <c r="D262" s="31"/>
      <c r="E262" s="34" t="s">
        <v>904</v>
      </c>
      <c r="F262" s="31">
        <f>COUNTIF('Mediation Dataset (Sudans)'!$G$2:$G$1222, "Morocco")</f>
        <v>1</v>
      </c>
      <c r="G262" s="31">
        <f>(F262/F273)*100</f>
        <v>8.1967213114754092E-2</v>
      </c>
      <c r="I262" s="38" t="s">
        <v>679</v>
      </c>
      <c r="J262" s="37">
        <f>COUNTIF('Mediation Dataset (Sudans)'!$G$2:$G$1222, "IMF")</f>
        <v>3</v>
      </c>
      <c r="K262" s="37">
        <f>(J262/J265)*100</f>
        <v>0.24590163934426232</v>
      </c>
      <c r="Q262" s="46" t="s">
        <v>331</v>
      </c>
      <c r="R262" s="45">
        <f>COUNTIF('Mediation Dataset (Sudans)'!$G$2:$G$1222, "Spain")</f>
        <v>5</v>
      </c>
      <c r="S262" s="45">
        <f>(R262/R332)*100</f>
        <v>1.3888888888888888</v>
      </c>
    </row>
    <row r="263" spans="3:19">
      <c r="C263" s="31"/>
      <c r="D263" s="31"/>
      <c r="E263" s="34" t="s">
        <v>905</v>
      </c>
      <c r="F263" s="31">
        <f>COUNTIF('Mediation Dataset (Sudans)'!$G$2:$G$1222, "Togo")</f>
        <v>1</v>
      </c>
      <c r="G263" s="31">
        <f>(F263/F273)*100</f>
        <v>8.1967213114754092E-2</v>
      </c>
      <c r="I263" s="38" t="s">
        <v>609</v>
      </c>
      <c r="J263" s="37">
        <f>COUNTIF('Mediation Dataset (Sudans)'!$G$2:$G$1222, "African Development Bank")</f>
        <v>5</v>
      </c>
      <c r="K263" s="37">
        <f>(J263/J265)*100</f>
        <v>0.4098360655737705</v>
      </c>
      <c r="Q263" s="46" t="s">
        <v>377</v>
      </c>
      <c r="R263" s="45">
        <f>COUNTIF('Mediation Dataset (Sudans)'!$G$2:$G$1222, "Netherlands")</f>
        <v>6</v>
      </c>
      <c r="S263" s="45">
        <f>(R263/R332)*100</f>
        <v>1.6666666666666667</v>
      </c>
    </row>
    <row r="264" spans="3:19">
      <c r="C264" s="31"/>
      <c r="D264" s="31"/>
      <c r="E264" s="34" t="s">
        <v>906</v>
      </c>
      <c r="F264" s="31">
        <f>COUNTIF('Mediation Dataset (Sudans)'!$G$2:$G$1222, "Gabon")</f>
        <v>1</v>
      </c>
      <c r="G264" s="31">
        <f>(F264/F273)*100</f>
        <v>8.1967213114754092E-2</v>
      </c>
      <c r="I264" s="38" t="s">
        <v>610</v>
      </c>
      <c r="J264" s="37">
        <f>COUNTIF('Mediation Dataset (Sudans)'!$G$2:$G$1222, "ICC")</f>
        <v>1</v>
      </c>
      <c r="K264" s="37">
        <f>(J264/J265)*100</f>
        <v>8.1967213114754092E-2</v>
      </c>
      <c r="Q264" s="46" t="s">
        <v>386</v>
      </c>
      <c r="R264" s="45">
        <f>COUNTIF('Mediation Dataset (Sudans)'!$G$2:$G$1222, "IPF")</f>
        <v>4</v>
      </c>
      <c r="S264" s="45">
        <f>(R264/R332)*100</f>
        <v>1.1111111111111112</v>
      </c>
    </row>
    <row r="265" spans="3:19">
      <c r="C265" s="31"/>
      <c r="D265" s="31"/>
      <c r="E265" s="34" t="s">
        <v>907</v>
      </c>
      <c r="F265" s="31">
        <f>COUNTIF('Mediation Dataset (Sudans)'!$G$2:$G$1222, "Liberia")</f>
        <v>1</v>
      </c>
      <c r="G265" s="31">
        <f>(F265/F273)*100</f>
        <v>8.1967213114754092E-2</v>
      </c>
      <c r="I265" s="39" t="s">
        <v>1181</v>
      </c>
      <c r="J265" s="37">
        <v>1220</v>
      </c>
      <c r="K265" s="37">
        <f>SUM(K227:K264)</f>
        <v>39.590163934426251</v>
      </c>
      <c r="Q265" s="46" t="s">
        <v>157</v>
      </c>
      <c r="R265" s="45">
        <f>COUNTIF('Mediation Dataset (Sudans)'!$G$2:$G$1222, "Qatar")</f>
        <v>15</v>
      </c>
      <c r="S265" s="45">
        <f>(R265/R332)*100</f>
        <v>4.1666666666666661</v>
      </c>
    </row>
    <row r="266" spans="3:19">
      <c r="C266" s="31"/>
      <c r="D266" s="31"/>
      <c r="E266" s="34" t="s">
        <v>908</v>
      </c>
      <c r="F266" s="31">
        <f>COUNTIF('Mediation Dataset (Sudans)'!$G$2:$G$1222, "Sierra Leone")</f>
        <v>1</v>
      </c>
      <c r="G266" s="31">
        <f>(F266/F273)*100</f>
        <v>8.1967213114754092E-2</v>
      </c>
      <c r="Q266" s="46" t="s">
        <v>163</v>
      </c>
      <c r="R266" s="45">
        <f>COUNTIF('Mediation Dataset (Sudans)'!$G$2:$G$1222, "Episcopal Church of Sudan")</f>
        <v>1</v>
      </c>
      <c r="S266" s="45">
        <f>(R266/R332)*100</f>
        <v>0.27777777777777779</v>
      </c>
    </row>
    <row r="267" spans="3:19">
      <c r="C267" s="31"/>
      <c r="D267" s="31"/>
      <c r="E267" s="34" t="s">
        <v>909</v>
      </c>
      <c r="F267" s="31">
        <f>COUNTIF('Mediation Dataset (Sudans)'!$G$2:$G$1222, "Zimbabwe")</f>
        <v>1</v>
      </c>
      <c r="G267" s="31">
        <f>(F267/F273)*100</f>
        <v>8.1967213114754092E-2</v>
      </c>
      <c r="Q267" s="46" t="s">
        <v>210</v>
      </c>
      <c r="R267" s="45">
        <f>COUNTIF('Mediation Dataset (Sudans)'!$G$2:$G$1222, "South Sudan Council of Churches")</f>
        <v>3</v>
      </c>
      <c r="S267" s="45">
        <f>(R267/R332)*100</f>
        <v>0.83333333333333337</v>
      </c>
    </row>
    <row r="268" spans="3:19">
      <c r="C268" s="31"/>
      <c r="D268" s="31"/>
      <c r="E268" s="34" t="s">
        <v>1006</v>
      </c>
      <c r="F268" s="31">
        <f>COUNTIF('Mediation Dataset (Sudans)'!$G$2:$G$1222, "African Diplomatic Corps")</f>
        <v>3</v>
      </c>
      <c r="G268" s="31">
        <f>(F268/F273)*100</f>
        <v>0.24590163934426232</v>
      </c>
      <c r="Q268" s="46" t="s">
        <v>243</v>
      </c>
      <c r="R268" s="45">
        <f>COUNTIF('Mediation Dataset (Sudans)'!$G$2:$G$1222, "James Ellery")</f>
        <v>2</v>
      </c>
      <c r="S268" s="45">
        <f>(R268/R332)*100</f>
        <v>0.55555555555555558</v>
      </c>
    </row>
    <row r="269" spans="3:19">
      <c r="C269" s="31"/>
      <c r="D269" s="31"/>
      <c r="E269" s="34" t="s">
        <v>1025</v>
      </c>
      <c r="F269" s="31">
        <f>COUNTIF('Mediation Dataset (Sudans)'!$G$2:$G$1222, "Türkiye")</f>
        <v>3</v>
      </c>
      <c r="G269" s="31">
        <f>(F269/F273)*100</f>
        <v>0.24590163934426232</v>
      </c>
      <c r="Q269" s="45" t="s">
        <v>438</v>
      </c>
      <c r="R269" s="45">
        <f>COUNTIF('Mediation Dataset (Sudans)'!$G$2:$G$1222, "Local Murle elites")</f>
        <v>1</v>
      </c>
      <c r="S269" s="45">
        <f>(R269/R332)*100</f>
        <v>0.27777777777777779</v>
      </c>
    </row>
    <row r="270" spans="3:19">
      <c r="C270" s="31"/>
      <c r="D270" s="31"/>
      <c r="E270" s="34" t="s">
        <v>678</v>
      </c>
      <c r="F270" s="31">
        <f>COUNTIF('Mediation Dataset (Sudans)'!$G$2:$G$1222, "Arab Fund for Social Development")</f>
        <v>2</v>
      </c>
      <c r="G270" s="31">
        <f>(F270/N252)*100</f>
        <v>0.16393442622950818</v>
      </c>
      <c r="Q270" s="46" t="s">
        <v>245</v>
      </c>
      <c r="R270" s="45">
        <f>COUNTIF('Mediation Dataset (Sudans)'!$G$2:$G$1222, "Equatorian Church Leaders")</f>
        <v>1</v>
      </c>
      <c r="S270" s="45">
        <f>(R270/R332)*100</f>
        <v>0.27777777777777779</v>
      </c>
    </row>
    <row r="271" spans="3:19">
      <c r="C271" s="31"/>
      <c r="D271" s="31"/>
      <c r="E271" s="34" t="s">
        <v>680</v>
      </c>
      <c r="F271" s="31">
        <f>COUNTIF('Mediation Dataset (Sudans)'!$G$2:$G$1222, "Islamic Development Bank")</f>
        <v>2</v>
      </c>
      <c r="G271" s="31">
        <f>(F271/N252)*100</f>
        <v>0.16393442622950818</v>
      </c>
      <c r="Q271" s="46" t="s">
        <v>244</v>
      </c>
      <c r="R271" s="45">
        <f>COUNTIF('Mediation Dataset (Sudans)'!$G$2:$G$1222, "PAX")</f>
        <v>1</v>
      </c>
      <c r="S271" s="45">
        <f>(R271/R332)*100</f>
        <v>0.27777777777777779</v>
      </c>
    </row>
    <row r="272" spans="3:19">
      <c r="C272" s="31"/>
      <c r="D272" s="31"/>
      <c r="E272" s="35" t="s">
        <v>1188</v>
      </c>
      <c r="F272" s="31"/>
      <c r="G272" s="31">
        <f>SUM(G227:G271)</f>
        <v>56.393442622950786</v>
      </c>
      <c r="Q272" s="46" t="s">
        <v>1173</v>
      </c>
      <c r="R272" s="45">
        <f>COUNTIF('Mediation Dataset (Sudans)'!$G$2:$G$1222, "Norwegian Church Aid")</f>
        <v>1</v>
      </c>
      <c r="S272" s="45">
        <f>(R272/R332)*100</f>
        <v>0.27777777777777779</v>
      </c>
    </row>
    <row r="273" spans="2:19">
      <c r="C273" s="31"/>
      <c r="D273" s="31"/>
      <c r="E273" s="35" t="s">
        <v>1181</v>
      </c>
      <c r="F273" s="31">
        <v>1220</v>
      </c>
      <c r="G273" s="31"/>
      <c r="Q273" s="46" t="s">
        <v>211</v>
      </c>
      <c r="R273" s="45">
        <f>COUNTIF('Mediation Dataset (Sudans)'!$G$2:$G$1222, "Shilluk reth")</f>
        <v>3</v>
      </c>
      <c r="S273" s="45">
        <f>(R273/R332)*100</f>
        <v>0.83333333333333337</v>
      </c>
    </row>
    <row r="274" spans="2:19">
      <c r="Q274" s="46" t="s">
        <v>60</v>
      </c>
      <c r="R274" s="45">
        <f>COUNTIF('Mediation Dataset (Sudans)'!$G$2:$G$1222, "Sudan")</f>
        <v>33</v>
      </c>
      <c r="S274" s="45">
        <f>(R274/R332)*100</f>
        <v>9.1666666666666661</v>
      </c>
    </row>
    <row r="275" spans="2:19">
      <c r="Q275" s="46" t="s">
        <v>246</v>
      </c>
      <c r="R275" s="45">
        <f>COUNTIF('Mediation Dataset (Sudans)'!$G$2:$G$1222, "South Sudanese Church Leaders")</f>
        <v>1</v>
      </c>
      <c r="S275" s="45">
        <f>(R275/R332)*100</f>
        <v>0.27777777777777779</v>
      </c>
    </row>
    <row r="276" spans="2:19">
      <c r="Q276" s="46" t="s">
        <v>229</v>
      </c>
      <c r="R276" s="45">
        <f>COUNTIF('Mediation Dataset (Sudans)'!$G$2:$G$1222, "Tanzania")</f>
        <v>1</v>
      </c>
      <c r="S276" s="45">
        <f>(R276/R332)*100</f>
        <v>0.27777777777777779</v>
      </c>
    </row>
    <row r="277" spans="2:19">
      <c r="Q277" s="46" t="s">
        <v>249</v>
      </c>
      <c r="R277" s="45">
        <f>COUNTIF('Mediation Dataset (Sudans)'!$G$2:$G$1222, "China")</f>
        <v>11</v>
      </c>
      <c r="S277" s="45">
        <f>(R277/R332)*100</f>
        <v>3.0555555555555554</v>
      </c>
    </row>
    <row r="278" spans="2:19">
      <c r="Q278" s="46" t="s">
        <v>485</v>
      </c>
      <c r="R278" s="45">
        <f>COUNTIF('Mediation Dataset (Sudans)'!$G$2:$G$1222, "Somalia")</f>
        <v>5</v>
      </c>
      <c r="S278" s="45">
        <f>(R278/R332)*100</f>
        <v>1.3888888888888888</v>
      </c>
    </row>
    <row r="279" spans="2:19">
      <c r="Q279" s="46" t="s">
        <v>482</v>
      </c>
      <c r="R279" s="45">
        <f>COUNTIF('Mediation Dataset (Sudans)'!$G$2:$G$1222, "Rwanda")</f>
        <v>5</v>
      </c>
      <c r="S279" s="45">
        <f>(R279/R332)*100</f>
        <v>1.3888888888888888</v>
      </c>
    </row>
    <row r="280" spans="2:19">
      <c r="B280" s="27" t="s">
        <v>1199</v>
      </c>
      <c r="C280" s="28"/>
      <c r="D280" s="28"/>
      <c r="E280" s="28"/>
      <c r="F280" s="28"/>
      <c r="G280" s="28"/>
      <c r="Q280" s="46" t="s">
        <v>507</v>
      </c>
      <c r="R280" s="45">
        <f>COUNTIF('Mediation Dataset (Sudans)'!$G$2:$G$1222, "Ghana")</f>
        <v>1</v>
      </c>
      <c r="S280" s="45">
        <f>(R280/R332)*100</f>
        <v>0.27777777777777779</v>
      </c>
    </row>
    <row r="281" spans="2:19">
      <c r="B281" s="4" t="s">
        <v>1180</v>
      </c>
      <c r="C281" s="4" t="s">
        <v>1195</v>
      </c>
      <c r="D281" s="4" t="s">
        <v>1196</v>
      </c>
      <c r="E281" s="4" t="s">
        <v>1197</v>
      </c>
      <c r="F281" s="4" t="s">
        <v>1198</v>
      </c>
      <c r="G281" s="4" t="s">
        <v>1190</v>
      </c>
      <c r="Q281" s="46" t="s">
        <v>965</v>
      </c>
      <c r="R281" s="45">
        <f>COUNTIF('Mediation Dataset (Sudans)'!$G$2:$G$1222, "Community of Sant’ Egidio")</f>
        <v>9</v>
      </c>
      <c r="S281" s="45">
        <f>(R281/R332)*100</f>
        <v>2.5</v>
      </c>
    </row>
    <row r="282" spans="2:19">
      <c r="B282" s="28" t="s">
        <v>22</v>
      </c>
      <c r="C282" s="28">
        <f>COUNTIFS('Mediation Dataset (Sudans)'!$L$2:$L$1222, "Ethiopia")</f>
        <v>16</v>
      </c>
      <c r="D282" s="28">
        <f>COUNTIFS('Mediation Dataset (Sudans)'!$M$2:$M$1222, "Ethiopia")</f>
        <v>6</v>
      </c>
      <c r="E282" s="28">
        <f>COUNTIFS('Mediation Dataset (Sudans)'!$N$2:$N$1222, "Ethiopia")</f>
        <v>0</v>
      </c>
      <c r="F282" s="28">
        <f t="shared" ref="F282:F313" si="0">SUM(C282:E282)</f>
        <v>22</v>
      </c>
      <c r="G282" s="28">
        <f>(F282/F387)*100</f>
        <v>1.5636105188343994</v>
      </c>
      <c r="H282" s="7"/>
      <c r="Q282" s="46" t="s">
        <v>252</v>
      </c>
      <c r="R282" s="45">
        <f>COUNTIF('Mediation Dataset (Sudans)'!$G$2:$G$1222, "Berghof Foundation")</f>
        <v>3</v>
      </c>
      <c r="S282" s="45">
        <f>(R282/R332)*100</f>
        <v>0.83333333333333337</v>
      </c>
    </row>
    <row r="283" spans="2:19">
      <c r="B283" s="29" t="s">
        <v>37</v>
      </c>
      <c r="C283" s="28">
        <f>COUNTIF('Mediation Dataset (Sudans)'!$L$2:$L$1222,"UN")</f>
        <v>132</v>
      </c>
      <c r="D283" s="28">
        <f>COUNTIF('Mediation Dataset (Sudans)'!$M$2:$M$1222,"UN")</f>
        <v>79</v>
      </c>
      <c r="E283" s="28">
        <f>COUNTIF('Mediation Dataset (Sudans)'!$N$2:$N$1222,"UN")</f>
        <v>8</v>
      </c>
      <c r="F283" s="28">
        <f t="shared" si="0"/>
        <v>219</v>
      </c>
      <c r="G283" s="28">
        <f>(F283/F387)*100</f>
        <v>15.565031982942431</v>
      </c>
      <c r="Q283" s="46" t="s">
        <v>671</v>
      </c>
      <c r="R283" s="45">
        <f>COUNTIF('Mediation Dataset (Sudans)'!$G$2:$G$1222, "Ireland")</f>
        <v>4</v>
      </c>
      <c r="S283" s="45">
        <f>(R283/R332)*100</f>
        <v>1.1111111111111112</v>
      </c>
    </row>
    <row r="284" spans="2:19">
      <c r="B284" s="29" t="s">
        <v>193</v>
      </c>
      <c r="C284" s="28">
        <f>COUNTIF('Mediation Dataset (Sudans)'!$L$2:$L$1222,"United States of America")</f>
        <v>8</v>
      </c>
      <c r="D284" s="28">
        <f>COUNTIF('Mediation Dataset (Sudans)'!$M$2:$M$1222,"United States of America")</f>
        <v>15</v>
      </c>
      <c r="E284" s="28">
        <f>COUNTIF('Mediation Dataset (Sudans)'!$N$2:$N$1222,"United States of America")</f>
        <v>0</v>
      </c>
      <c r="F284" s="28">
        <f t="shared" si="0"/>
        <v>23</v>
      </c>
      <c r="G284" s="28">
        <f>(F284/F387)*100</f>
        <v>1.6346837242359631</v>
      </c>
      <c r="Q284" s="46" t="s">
        <v>612</v>
      </c>
      <c r="R284" s="45">
        <f>COUNTIF('Mediation Dataset (Sudans)'!$G$2:$G$1222, "Japan")</f>
        <v>5</v>
      </c>
      <c r="S284" s="45">
        <f>(R284/R332)*100</f>
        <v>1.3888888888888888</v>
      </c>
    </row>
    <row r="285" spans="2:19">
      <c r="B285" s="29" t="s">
        <v>182</v>
      </c>
      <c r="C285" s="28">
        <f>COUNTIF('Mediation Dataset (Sudans)'!$L$2:$L$1222, "OAU")</f>
        <v>2</v>
      </c>
      <c r="D285" s="28">
        <f>COUNTIF('Mediation Dataset (Sudans)'!$M$2:$M$1222, "OAU")</f>
        <v>0</v>
      </c>
      <c r="E285" s="28">
        <f>COUNTIF('Mediation Dataset (Sudans)'!$N$2:$N$1222, "OAU")</f>
        <v>0</v>
      </c>
      <c r="F285" s="28">
        <f t="shared" si="0"/>
        <v>2</v>
      </c>
      <c r="G285" s="28">
        <f>(F285/F387)*100</f>
        <v>0.14214641080312723</v>
      </c>
      <c r="Q285" s="46" t="s">
        <v>615</v>
      </c>
      <c r="R285" s="45">
        <f>COUNTIF('Mediation Dataset (Sudans)'!$G$2:$G$1222, "United Arab Emirates")</f>
        <v>10</v>
      </c>
      <c r="S285" s="45">
        <f>(R285/R332)*100</f>
        <v>2.7777777777777777</v>
      </c>
    </row>
    <row r="286" spans="2:19">
      <c r="B286" s="29" t="s">
        <v>151</v>
      </c>
      <c r="C286" s="28">
        <f>COUNTIF('Mediation Dataset (Sudans)'!$L$2:$L$1222,"Nigeria")</f>
        <v>4</v>
      </c>
      <c r="D286" s="28">
        <f>COUNTIF('Mediation Dataset (Sudans)'!$M$2:$M$1222,"Nigeria")</f>
        <v>0</v>
      </c>
      <c r="E286" s="28">
        <f>COUNTIF('Mediation Dataset (Sudans)'!$N$2:$N$1222,"Nigeria")</f>
        <v>0</v>
      </c>
      <c r="F286" s="28">
        <f t="shared" si="0"/>
        <v>4</v>
      </c>
      <c r="G286" s="28">
        <f>(F286/F387)*100</f>
        <v>0.28429282160625446</v>
      </c>
      <c r="Q286" s="46" t="s">
        <v>18</v>
      </c>
      <c r="R286" s="45">
        <f>COUNTIF('Mediation Dataset (Sudans)'!$G$2:$G$1222, "South Sudan")</f>
        <v>21</v>
      </c>
      <c r="S286" s="45">
        <f>(R286/R332)*100</f>
        <v>5.833333333333333</v>
      </c>
    </row>
    <row r="287" spans="2:19">
      <c r="B287" s="29" t="s">
        <v>35</v>
      </c>
      <c r="C287" s="28">
        <f>COUNTIF('Mediation Dataset (Sudans)'!$L$2:$L$1222, "IGAD")</f>
        <v>467</v>
      </c>
      <c r="D287" s="28">
        <f>COUNTIF('Mediation Dataset (Sudans)'!$M$2:$M$1222, "IGAD")</f>
        <v>15</v>
      </c>
      <c r="E287" s="28">
        <f>COUNTIF('Mediation Dataset (Sudans)'!$N$2:$N$1222, "IGAD")</f>
        <v>28</v>
      </c>
      <c r="F287" s="28">
        <f t="shared" si="0"/>
        <v>510</v>
      </c>
      <c r="G287" s="28">
        <f>(F287/F387)*100</f>
        <v>36.247334754797436</v>
      </c>
      <c r="Q287" s="46" t="s">
        <v>547</v>
      </c>
      <c r="R287" s="45">
        <f>COUNTIF('Mediation Dataset (Sudans)'!$G$2:$G$1222, "ICRC")</f>
        <v>2</v>
      </c>
      <c r="S287" s="45">
        <f>(R287/R332)*100</f>
        <v>0.55555555555555558</v>
      </c>
    </row>
    <row r="288" spans="2:19">
      <c r="B288" s="29" t="s">
        <v>152</v>
      </c>
      <c r="C288" s="28">
        <f>COUNTIF('Mediation Dataset (Sudans)'!$L$2:$L$1222, "Kenya")</f>
        <v>43</v>
      </c>
      <c r="D288" s="28">
        <f>COUNTIF('Mediation Dataset (Sudans)'!$M$2:$M$1222, "Kenya")</f>
        <v>6</v>
      </c>
      <c r="E288" s="28">
        <f>COUNTIF('Mediation Dataset (Sudans)'!$N$2:$N$1222, "Kenya")</f>
        <v>0</v>
      </c>
      <c r="F288" s="28">
        <f t="shared" si="0"/>
        <v>49</v>
      </c>
      <c r="G288" s="28">
        <f>(F288/F387)*100</f>
        <v>3.4825870646766171</v>
      </c>
      <c r="Q288" s="46" t="s">
        <v>567</v>
      </c>
      <c r="R288" s="45">
        <f>COUNTIF('Mediation Dataset (Sudans)'!$G$2:$G$1222, "Sweden")</f>
        <v>7</v>
      </c>
      <c r="S288" s="45">
        <f>(R288/R332)*100</f>
        <v>1.9444444444444444</v>
      </c>
    </row>
    <row r="289" spans="2:19">
      <c r="B289" s="29" t="s">
        <v>191</v>
      </c>
      <c r="C289" s="28">
        <f>COUNTIF('Mediation Dataset (Sudans)'!$L$2:$L$1222, "Eritrea")</f>
        <v>1</v>
      </c>
      <c r="D289" s="28">
        <f>COUNTIF('Mediation Dataset (Sudans)'!$M$2:$M$1222, "Eritrea")</f>
        <v>0</v>
      </c>
      <c r="E289" s="28">
        <f>COUNTIF('Mediation Dataset (Sudans)'!$N$2:$N$1222, "Eritrea")</f>
        <v>0</v>
      </c>
      <c r="F289" s="28">
        <f t="shared" si="0"/>
        <v>1</v>
      </c>
      <c r="G289" s="28">
        <f>(F289/F387)*100</f>
        <v>7.1073205401563616E-2</v>
      </c>
      <c r="Q289" s="46" t="s">
        <v>605</v>
      </c>
      <c r="R289" s="45">
        <f>COUNTIF('Mediation Dataset (Sudans)'!$G$2:$G$1222, "ACCORD")</f>
        <v>1</v>
      </c>
      <c r="S289" s="45">
        <f>(R289/R332)*100</f>
        <v>0.27777777777777779</v>
      </c>
    </row>
    <row r="290" spans="2:19">
      <c r="B290" s="29" t="s">
        <v>158</v>
      </c>
      <c r="C290" s="28">
        <f>COUNTIF('Mediation Dataset (Sudans)'!$L$2:$L$1222,"Carter Center")</f>
        <v>1</v>
      </c>
      <c r="D290" s="28">
        <f>COUNTIF('Mediation Dataset (Sudans)'!$M$2:$M$1222,"Carter Center")</f>
        <v>0</v>
      </c>
      <c r="E290" s="28">
        <f>COUNTIF('Mediation Dataset (Sudans)'!$N$2:$N$1222,"Carter Center")</f>
        <v>0</v>
      </c>
      <c r="F290" s="28">
        <f t="shared" si="0"/>
        <v>1</v>
      </c>
      <c r="G290" s="28">
        <f>(F290/F387)*100</f>
        <v>7.1073205401563616E-2</v>
      </c>
      <c r="Q290" s="46" t="s">
        <v>610</v>
      </c>
      <c r="R290" s="45">
        <f>COUNTIF('Mediation Dataset (Sudans)'!$G$2:$G$1222, "African Development Bank")</f>
        <v>5</v>
      </c>
      <c r="S290" s="45">
        <f>(R290/R332)*100</f>
        <v>1.3888888888888888</v>
      </c>
    </row>
    <row r="291" spans="2:19">
      <c r="B291" s="29" t="s">
        <v>273</v>
      </c>
      <c r="C291" s="28">
        <f>COUNTIF('Mediation Dataset (Sudans)'!$L$2:$L$1222, "Fashoda Relief")</f>
        <v>0</v>
      </c>
      <c r="D291" s="28">
        <f>COUNTIF('Mediation Dataset (Sudans)'!$M$2:$M$1222, "Fashoda Relief")</f>
        <v>0</v>
      </c>
      <c r="E291" s="28">
        <f>COUNTIF('Mediation Dataset (Sudans)'!$N$2:$N$1222, "Fashoda Relief")</f>
        <v>0</v>
      </c>
      <c r="F291" s="28">
        <f t="shared" si="0"/>
        <v>0</v>
      </c>
      <c r="G291" s="28">
        <f>(F291/F387)*100</f>
        <v>0</v>
      </c>
      <c r="Q291" s="46" t="s">
        <v>611</v>
      </c>
      <c r="R291" s="45">
        <f>COUNTIF('Mediation Dataset (Sudans)'!$G$2:$G$1222, "Canada")</f>
        <v>5</v>
      </c>
      <c r="S291" s="45">
        <f>(R291/R332)*100</f>
        <v>1.3888888888888888</v>
      </c>
    </row>
    <row r="292" spans="2:19">
      <c r="B292" s="29" t="s">
        <v>281</v>
      </c>
      <c r="C292" s="28">
        <f>COUNTIF('Mediation Dataset (Sudans)'!$L$2:$L$1222, "NGO consortium")</f>
        <v>0</v>
      </c>
      <c r="D292" s="28">
        <f>COUNTIF('Mediation Dataset (Sudans)'!$M$2:$M$1222, "NGO consortium")</f>
        <v>0</v>
      </c>
      <c r="E292" s="28">
        <f>COUNTIF('Mediation Dataset (Sudans)'!$N$2:$N$1222, "NGO consortium")</f>
        <v>0</v>
      </c>
      <c r="F292" s="28">
        <f t="shared" si="0"/>
        <v>0</v>
      </c>
      <c r="G292" s="28">
        <f>(F292/F387)*100</f>
        <v>0</v>
      </c>
      <c r="Q292" s="46" t="s">
        <v>613</v>
      </c>
      <c r="R292" s="45">
        <f>COUNTIF('Mediation Dataset (Sudans)'!$G$2:$G$1222, "Kuwait")</f>
        <v>4</v>
      </c>
      <c r="S292" s="45">
        <f>(R292/R332)*100</f>
        <v>1.1111111111111112</v>
      </c>
    </row>
    <row r="293" spans="2:19">
      <c r="B293" s="29" t="s">
        <v>196</v>
      </c>
      <c r="C293" s="28">
        <f>COUNTIF('Mediation Dataset (Sudans)'!$L$2:$L$1222,"South Africa")</f>
        <v>13</v>
      </c>
      <c r="D293" s="28">
        <f>COUNTIF('Mediation Dataset (Sudans)'!$M$2:$M$1222,"South Africa")</f>
        <v>0</v>
      </c>
      <c r="E293" s="28">
        <f>COUNTIF('Mediation Dataset (Sudans)'!$N$2:$N$1222,"South Africa")</f>
        <v>0</v>
      </c>
      <c r="F293" s="28">
        <f t="shared" si="0"/>
        <v>13</v>
      </c>
      <c r="G293" s="28">
        <f>(F293/F387)*100</f>
        <v>0.92395167022032687</v>
      </c>
      <c r="Q293" s="46" t="s">
        <v>616</v>
      </c>
      <c r="R293" s="45">
        <f>COUNTIF('Mediation Dataset (Sudans)'!$G$2:$G$1222, "World Bank")</f>
        <v>4</v>
      </c>
      <c r="S293" s="45">
        <f>(R293/R332)*100</f>
        <v>1.1111111111111112</v>
      </c>
    </row>
    <row r="294" spans="2:19">
      <c r="B294" s="29" t="s">
        <v>159</v>
      </c>
      <c r="C294" s="28">
        <f>COUNTIF('Mediation Dataset (Sudans)'!$L$2:$L$1222,"Abel Alier")</f>
        <v>1</v>
      </c>
      <c r="D294" s="28">
        <f>COUNTIF('Mediation Dataset (Sudans)'!$M$2:$M$1222,"Abel Alier")</f>
        <v>0</v>
      </c>
      <c r="E294" s="28">
        <f>COUNTIF('Mediation Dataset (Sudans)'!$N$2:$N$1222,"Abel Alier")</f>
        <v>0</v>
      </c>
      <c r="F294" s="28">
        <f t="shared" si="0"/>
        <v>1</v>
      </c>
      <c r="G294" s="28">
        <f>(F294/F387)*100</f>
        <v>7.1073205401563616E-2</v>
      </c>
      <c r="Q294" s="46" t="s">
        <v>663</v>
      </c>
      <c r="R294" s="45">
        <f>COUNTIF('Mediation Dataset (Sudans)'!$G$2:$G$1222, "Belgium")</f>
        <v>2</v>
      </c>
      <c r="S294" s="45">
        <f>(R294/R332)*100</f>
        <v>0.55555555555555558</v>
      </c>
    </row>
    <row r="295" spans="2:19">
      <c r="B295" s="29" t="s">
        <v>154</v>
      </c>
      <c r="C295" s="28">
        <f>COUNTIF('Mediation Dataset (Sudans)'!$L$2:$L$1222,"Egypt")</f>
        <v>15</v>
      </c>
      <c r="D295" s="28">
        <f>COUNTIF('Mediation Dataset (Sudans)'!$M$2:$M$1222,"Egypt")</f>
        <v>0</v>
      </c>
      <c r="E295" s="28">
        <f>COUNTIF('Mediation Dataset (Sudans)'!$N$2:$N$1222,"Egypt")</f>
        <v>0</v>
      </c>
      <c r="F295" s="28">
        <f t="shared" si="0"/>
        <v>15</v>
      </c>
      <c r="G295" s="28">
        <f>(F295/F387)*100</f>
        <v>1.0660980810234542</v>
      </c>
      <c r="Q295" s="46" t="s">
        <v>664</v>
      </c>
      <c r="R295" s="45">
        <f>COUNTIF('Mediation Dataset (Sudans)'!$G$2:$G$1222, "Croatia")</f>
        <v>2</v>
      </c>
      <c r="S295" s="45">
        <f>(R295/R332)*100</f>
        <v>0.55555555555555558</v>
      </c>
    </row>
    <row r="296" spans="2:19">
      <c r="B296" s="29" t="s">
        <v>283</v>
      </c>
      <c r="C296" s="28">
        <f>COUNTIF('Mediation Dataset (Sudans)'!$L$2:$L$1222,"Libya")</f>
        <v>0</v>
      </c>
      <c r="D296" s="28">
        <f>COUNTIF('Mediation Dataset (Sudans)'!$L$2:$L$1222,"Libya")</f>
        <v>0</v>
      </c>
      <c r="E296" s="28">
        <f>COUNTIF('Mediation Dataset (Sudans)'!$N$2:$N$1222,"Libya")</f>
        <v>0</v>
      </c>
      <c r="F296" s="28">
        <f t="shared" si="0"/>
        <v>0</v>
      </c>
      <c r="G296" s="28">
        <f>(F296/F387)*100</f>
        <v>0</v>
      </c>
      <c r="Q296" s="46" t="s">
        <v>665</v>
      </c>
      <c r="R296" s="45">
        <f>COUNTIF('Mediation Dataset (Sudans)'!$G$2:$G$1222, "Czechia")</f>
        <v>2</v>
      </c>
      <c r="S296" s="45">
        <f>(R296/R332)*100</f>
        <v>0.55555555555555558</v>
      </c>
    </row>
    <row r="297" spans="2:19">
      <c r="B297" s="29" t="s">
        <v>153</v>
      </c>
      <c r="C297" s="28">
        <f>COUNTIF('Mediation Dataset (Sudans)'!$L$2:$L$1222, "Switzerland")</f>
        <v>5</v>
      </c>
      <c r="D297" s="28">
        <f>COUNTIF('Mediation Dataset (Sudans)'!$M$2:$M$1222, "Switzerland")</f>
        <v>0</v>
      </c>
      <c r="E297" s="28">
        <f>COUNTIF('Mediation Dataset (Sudans)'!$N$2:$N$1222, "Switzerland")</f>
        <v>0</v>
      </c>
      <c r="F297" s="28">
        <f t="shared" si="0"/>
        <v>5</v>
      </c>
      <c r="G297" s="28">
        <f>(F297/F387)*100</f>
        <v>0.35536602700781805</v>
      </c>
      <c r="Q297" s="46" t="s">
        <v>666</v>
      </c>
      <c r="R297" s="45">
        <f>COUNTIF('Mediation Dataset (Sudans)'!$G$2:$G$1222, "Denmark")</f>
        <v>2</v>
      </c>
      <c r="S297" s="45">
        <f>(R297/R332)*100</f>
        <v>0.55555555555555558</v>
      </c>
    </row>
    <row r="298" spans="2:19">
      <c r="B298" s="29" t="s">
        <v>202</v>
      </c>
      <c r="C298" s="28">
        <f>COUNTIF('Mediation Dataset (Sudans)'!$L$2:$L$1222,"United Kingdom")</f>
        <v>12</v>
      </c>
      <c r="D298" s="28">
        <f>COUNTIF('Mediation Dataset (Sudans)'!$M$2:$M$1222,"United Kingdom")</f>
        <v>0</v>
      </c>
      <c r="E298" s="28">
        <f>COUNTIF('Mediation Dataset (Sudans)'!$N$2:$N$1222,"United Kingdom")</f>
        <v>0</v>
      </c>
      <c r="F298" s="28">
        <f t="shared" si="0"/>
        <v>12</v>
      </c>
      <c r="G298" s="28">
        <f>(F298/F387)*100</f>
        <v>0.85287846481876328</v>
      </c>
      <c r="Q298" s="46" t="s">
        <v>667</v>
      </c>
      <c r="R298" s="45">
        <f>COUNTIF('Mediation Dataset (Sudans)'!$G$2:$G$1222, "Estonia")</f>
        <v>2</v>
      </c>
      <c r="S298" s="45">
        <f>(R298/R332)*100</f>
        <v>0.55555555555555558</v>
      </c>
    </row>
    <row r="299" spans="2:19">
      <c r="B299" s="29" t="s">
        <v>203</v>
      </c>
      <c r="C299" s="28">
        <f>COUNTIF('Mediation Dataset (Sudans)'!$L$2:$L$1222,"Norway")</f>
        <v>0</v>
      </c>
      <c r="D299" s="28">
        <f>COUNTIF('Mediation Dataset (Sudans)'!$M$2:$M$1222,"Norway")</f>
        <v>0</v>
      </c>
      <c r="E299" s="28">
        <f>COUNTIF('Mediation Dataset (Sudans)'!$N$2:$N$1222,"Norway")</f>
        <v>0</v>
      </c>
      <c r="F299" s="28">
        <f t="shared" si="0"/>
        <v>0</v>
      </c>
      <c r="G299" s="28">
        <f>(F299/F387)*100</f>
        <v>0</v>
      </c>
      <c r="Q299" s="46" t="s">
        <v>668</v>
      </c>
      <c r="R299" s="45">
        <f>COUNTIF('Mediation Dataset (Sudans)'!$G$2:$G$1222, "Finland")</f>
        <v>2</v>
      </c>
      <c r="S299" s="45">
        <f>(R299/R332)*100</f>
        <v>0.55555555555555558</v>
      </c>
    </row>
    <row r="300" spans="2:19">
      <c r="B300" s="29" t="s">
        <v>204</v>
      </c>
      <c r="C300" s="28">
        <f>COUNTIF('Mediation Dataset (Sudans)'!$L$2:$L$1222,"Italy")</f>
        <v>0</v>
      </c>
      <c r="D300" s="28">
        <f>COUNTIF('Mediation Dataset (Sudans)'!$M$2:$M$1222,"Italy")</f>
        <v>0</v>
      </c>
      <c r="E300" s="28">
        <f>COUNTIF('Mediation Dataset (Sudans)'!$N$2:$N$1222,"Italy")</f>
        <v>0</v>
      </c>
      <c r="F300" s="28">
        <f t="shared" si="0"/>
        <v>0</v>
      </c>
      <c r="G300" s="28">
        <f>(F300/F387)*100</f>
        <v>0</v>
      </c>
      <c r="Q300" s="46" t="s">
        <v>669</v>
      </c>
      <c r="R300" s="45">
        <f>COUNTIF('Mediation Dataset (Sudans)'!$G$2:$G$1222, "Greece")</f>
        <v>2</v>
      </c>
      <c r="S300" s="45">
        <f>(R300/R332)*100</f>
        <v>0.55555555555555558</v>
      </c>
    </row>
    <row r="301" spans="2:19">
      <c r="B301" s="29" t="s">
        <v>298</v>
      </c>
      <c r="C301" s="28">
        <f>COUNTIF('Mediation Dataset (Sudans)'!$L$2:$L$1222, "Arab League")</f>
        <v>0</v>
      </c>
      <c r="D301" s="28">
        <f>COUNTIF('Mediation Dataset (Sudans)'!$M$2:$M$1222, "Arab League")</f>
        <v>0</v>
      </c>
      <c r="E301" s="28">
        <f>COUNTIF('Mediation Dataset (Sudans)'!$N$2:$N$1222, "Arab League")</f>
        <v>0</v>
      </c>
      <c r="F301" s="28">
        <f t="shared" si="0"/>
        <v>0</v>
      </c>
      <c r="G301" s="28">
        <f>(F301/F387)*100</f>
        <v>0</v>
      </c>
      <c r="Q301" s="46" t="s">
        <v>670</v>
      </c>
      <c r="R301" s="45">
        <f>COUNTIF('Mediation Dataset (Sudans)'!$G$2:$G$1222, "Hungary")</f>
        <v>2</v>
      </c>
      <c r="S301" s="45">
        <f>(R301/R332)*100</f>
        <v>0.55555555555555558</v>
      </c>
    </row>
    <row r="302" spans="2:19">
      <c r="B302" s="29" t="s">
        <v>162</v>
      </c>
      <c r="C302" s="28">
        <f>COUNTIF('Mediation Dataset (Sudans)'!$L$2:$L$1222,"Darfur Security Committee")</f>
        <v>1</v>
      </c>
      <c r="D302" s="28">
        <f>COUNTIF('Mediation Dataset (Sudans)'!$M$2:$M$1222,"Darfur Security Committee")</f>
        <v>0</v>
      </c>
      <c r="E302" s="28">
        <f>COUNTIF('Mediation Dataset (Sudans)'!$N$2:$N$1222,"Darfur Security Committee")</f>
        <v>0</v>
      </c>
      <c r="F302" s="28">
        <f t="shared" si="0"/>
        <v>1</v>
      </c>
      <c r="G302" s="28">
        <f>(F302/F387)*100</f>
        <v>7.1073205401563616E-2</v>
      </c>
      <c r="Q302" s="46" t="s">
        <v>672</v>
      </c>
      <c r="R302" s="45">
        <f>COUNTIF('Mediation Dataset (Sudans)'!$G$2:$G$1222, "Lithuania")</f>
        <v>2</v>
      </c>
      <c r="S302" s="45">
        <f>(R302/R332)*100</f>
        <v>0.55555555555555558</v>
      </c>
    </row>
    <row r="303" spans="2:19">
      <c r="B303" s="29" t="s">
        <v>156</v>
      </c>
      <c r="C303" s="28">
        <f>COUNTIF('Mediation Dataset (Sudans)'!$L$2:$L$1222,"Chad")</f>
        <v>18</v>
      </c>
      <c r="D303" s="28">
        <f>COUNTIF('Mediation Dataset (Sudans)'!$M$2:$M$1222,"Chad")</f>
        <v>0</v>
      </c>
      <c r="E303" s="28">
        <f>COUNTIF('Mediation Dataset (Sudans)'!$N$2:$N$1222,"Chad")</f>
        <v>0</v>
      </c>
      <c r="F303" s="28">
        <f t="shared" si="0"/>
        <v>18</v>
      </c>
      <c r="G303" s="28">
        <f>(F303/F387)*100</f>
        <v>1.279317697228145</v>
      </c>
      <c r="Q303" s="46" t="s">
        <v>673</v>
      </c>
      <c r="R303" s="45">
        <f>COUNTIF('Mediation Dataset (Sudans)'!$G$2:$G$1222, "Malta")</f>
        <v>2</v>
      </c>
      <c r="S303" s="45">
        <f>(R303/R332)*100</f>
        <v>0.55555555555555558</v>
      </c>
    </row>
    <row r="304" spans="2:19">
      <c r="B304" s="29" t="s">
        <v>155</v>
      </c>
      <c r="C304" s="28">
        <f>COUNTIF('Mediation Dataset (Sudans)'!$L$2:$L$1222,"Saudi Arabia")</f>
        <v>51</v>
      </c>
      <c r="D304" s="28">
        <f>COUNTIF('Mediation Dataset (Sudans)'!$M$2:$M$1222,"Saudi Arabia")</f>
        <v>0</v>
      </c>
      <c r="E304" s="28">
        <f>COUNTIF('Mediation Dataset (Sudans)'!$N$2:$N$1222,"Saudi Arabia")</f>
        <v>0</v>
      </c>
      <c r="F304" s="28">
        <f t="shared" si="0"/>
        <v>51</v>
      </c>
      <c r="G304" s="28">
        <f>(F304/F387)*100</f>
        <v>3.624733475479744</v>
      </c>
      <c r="Q304" s="46" t="s">
        <v>674</v>
      </c>
      <c r="R304" s="45">
        <f>COUNTIF('Mediation Dataset (Sudans)'!$G$2:$G$1222, "Poland")</f>
        <v>2</v>
      </c>
      <c r="S304" s="45">
        <f>(R304/R332)*100</f>
        <v>0.55555555555555558</v>
      </c>
    </row>
    <row r="305" spans="2:19">
      <c r="B305" s="29" t="s">
        <v>26</v>
      </c>
      <c r="C305" s="28">
        <f>COUNTIF('Mediation Dataset (Sudans)'!$L$2:$L$1222,"AU")</f>
        <v>121</v>
      </c>
      <c r="D305" s="28">
        <f>COUNTIF('Mediation Dataset (Sudans)'!$M$2:$M$1222,"AU")</f>
        <v>28</v>
      </c>
      <c r="E305" s="28">
        <f>COUNTIF('Mediation Dataset (Sudans)'!$N$2:$N$1222,"AU")</f>
        <v>0</v>
      </c>
      <c r="F305" s="28">
        <f t="shared" si="0"/>
        <v>149</v>
      </c>
      <c r="G305" s="28">
        <f>(F305/F387)*100</f>
        <v>10.589907604832979</v>
      </c>
      <c r="Q305" s="46" t="s">
        <v>675</v>
      </c>
      <c r="R305" s="45">
        <f>COUNTIF('Mediation Dataset (Sudans)'!$G$2:$G$1222, "Portugal")</f>
        <v>2</v>
      </c>
      <c r="S305" s="45">
        <f>(R305/R332)*100</f>
        <v>0.55555555555555558</v>
      </c>
    </row>
    <row r="306" spans="2:19">
      <c r="B306" s="29" t="s">
        <v>161</v>
      </c>
      <c r="C306" s="28">
        <f>COUNTIF('Mediation Dataset (Sudans)'!$L$2:$L$1222,"EU")</f>
        <v>53</v>
      </c>
      <c r="D306" s="28">
        <f>COUNTIF('Mediation Dataset (Sudans)'!$M$2:$M$1222,"EU")</f>
        <v>0</v>
      </c>
      <c r="E306" s="28">
        <f>COUNTIF('Mediation Dataset (Sudans)'!$N$2:$N$1222,"EU")</f>
        <v>0</v>
      </c>
      <c r="F306" s="28">
        <f t="shared" si="0"/>
        <v>53</v>
      </c>
      <c r="G306" s="28">
        <f>(F306/F387)*100</f>
        <v>3.7668798862828714</v>
      </c>
      <c r="Q306" s="46" t="s">
        <v>676</v>
      </c>
      <c r="R306" s="45">
        <f>COUNTIF('Mediation Dataset (Sudans)'!$G$2:$G$1222, "The Republic of Korea")</f>
        <v>2</v>
      </c>
      <c r="S306" s="45">
        <f>(R306/R332)*100</f>
        <v>0.55555555555555558</v>
      </c>
    </row>
    <row r="307" spans="2:19">
      <c r="B307" s="29" t="s">
        <v>324</v>
      </c>
      <c r="C307" s="28">
        <f>COUNTIF('Mediation Dataset (Sudans)'!$L$2:$L$1222,"Algeria")</f>
        <v>0</v>
      </c>
      <c r="D307" s="28">
        <f>COUNTIF('Mediation Dataset (Sudans)'!$M$2:$M$1222,"Algeria")</f>
        <v>0</v>
      </c>
      <c r="E307" s="28">
        <f>COUNTIF('Mediation Dataset (Sudans)'!$N$2:$N$1222,"Algeria")</f>
        <v>0</v>
      </c>
      <c r="F307" s="28">
        <f t="shared" si="0"/>
        <v>0</v>
      </c>
      <c r="G307" s="28">
        <f>(F307/F387)*100</f>
        <v>0</v>
      </c>
      <c r="Q307" s="46" t="s">
        <v>677</v>
      </c>
      <c r="R307" s="45">
        <f>COUNTIF('Mediation Dataset (Sudans)'!$G$2:$G$1222, "Slovenia")</f>
        <v>2</v>
      </c>
      <c r="S307" s="45">
        <f>(R307/R332)*100</f>
        <v>0.55555555555555558</v>
      </c>
    </row>
    <row r="308" spans="2:19">
      <c r="B308" s="29" t="s">
        <v>325</v>
      </c>
      <c r="C308" s="28">
        <f>COUNTIF('Mediation Dataset (Sudans)'!$L$2:$L$1222,"Angola")</f>
        <v>0</v>
      </c>
      <c r="D308" s="28">
        <f>COUNTIF('Mediation Dataset (Sudans)'!$M$2:$M$1222,"Angola")</f>
        <v>0</v>
      </c>
      <c r="E308" s="28">
        <f>COUNTIF('Mediation Dataset (Sudans)'!$N$2:$N$1222,"Angola")</f>
        <v>0</v>
      </c>
      <c r="F308" s="28">
        <f t="shared" si="0"/>
        <v>0</v>
      </c>
      <c r="G308" s="28">
        <f>(F308/F387)*100</f>
        <v>0</v>
      </c>
      <c r="Q308" s="46" t="s">
        <v>678</v>
      </c>
      <c r="R308" s="45">
        <f>COUNTIF('Mediation Dataset (Sudans)'!$G$2:$G$1222, "Arab Fund for Social Development")</f>
        <v>2</v>
      </c>
      <c r="S308" s="45">
        <f>(R308/R332)*100</f>
        <v>0.55555555555555558</v>
      </c>
    </row>
    <row r="309" spans="2:19">
      <c r="B309" s="29" t="s">
        <v>326</v>
      </c>
      <c r="C309" s="28">
        <f>COUNTIF('Mediation Dataset (Sudans)'!$L$2:$L$1222,"Benin")</f>
        <v>0</v>
      </c>
      <c r="D309" s="28">
        <f>COUNTIF('Mediation Dataset (Sudans)'!$M$2:$M$1222,"Benin")</f>
        <v>0</v>
      </c>
      <c r="E309" s="28">
        <f>COUNTIF('Mediation Dataset (Sudans)'!$N$2:$N$1222,"Benin")</f>
        <v>0</v>
      </c>
      <c r="F309" s="28">
        <f t="shared" si="0"/>
        <v>0</v>
      </c>
      <c r="G309" s="28">
        <f>(F309/F387)*100</f>
        <v>0</v>
      </c>
      <c r="Q309" s="46" t="s">
        <v>679</v>
      </c>
      <c r="R309" s="45">
        <f>COUNTIF('Mediation Dataset (Sudans)'!$G$2:$G$1222, "IMF")</f>
        <v>3</v>
      </c>
      <c r="S309" s="45">
        <f>(R309/R332)*100</f>
        <v>0.83333333333333337</v>
      </c>
    </row>
    <row r="310" spans="2:19">
      <c r="B310" s="29" t="s">
        <v>327</v>
      </c>
      <c r="C310" s="28">
        <f>COUNTIF('Mediation Dataset (Sudans)'!$L$2:$L$1222, "Brazil")</f>
        <v>0</v>
      </c>
      <c r="D310" s="28">
        <f>COUNTIF('Mediation Dataset (Sudans)'!$M$2:$M$1222, "Brazil")</f>
        <v>0</v>
      </c>
      <c r="E310" s="28">
        <f>COUNTIF('Mediation Dataset (Sudans)'!$N$2:$N$1222, "Brazil")</f>
        <v>0</v>
      </c>
      <c r="F310" s="28">
        <f t="shared" si="0"/>
        <v>0</v>
      </c>
      <c r="G310" s="28">
        <f>(F310/F387)*100</f>
        <v>0</v>
      </c>
      <c r="Q310" s="46" t="s">
        <v>680</v>
      </c>
      <c r="R310" s="45">
        <f>COUNTIF('Mediation Dataset (Sudans)'!$G$2:$G$1222, "Islamic Development Bank")</f>
        <v>2</v>
      </c>
      <c r="S310" s="45">
        <f>(R310/R332)*100</f>
        <v>0.55555555555555558</v>
      </c>
    </row>
    <row r="311" spans="2:19">
      <c r="B311" s="29" t="s">
        <v>222</v>
      </c>
      <c r="C311" s="28">
        <f>COUNTIF('Mediation Dataset (Sudans)'!$L$2:$L$1222,"France")</f>
        <v>27</v>
      </c>
      <c r="D311" s="28">
        <f>COUNTIF('Mediation Dataset (Sudans)'!$M$2:$M$1222,"France")</f>
        <v>0</v>
      </c>
      <c r="E311" s="28">
        <f>COUNTIF('Mediation Dataset (Sudans)'!$N$2:$N$1222,"France")</f>
        <v>0</v>
      </c>
      <c r="F311" s="28">
        <f t="shared" si="0"/>
        <v>27</v>
      </c>
      <c r="G311" s="28">
        <f>(F311/F387)*100</f>
        <v>1.9189765458422177</v>
      </c>
      <c r="Q311" s="46" t="s">
        <v>739</v>
      </c>
      <c r="R311" s="45">
        <f>COUNTIF('Mediation Dataset (Sudans)'!$G$2:$G$1222, "The Native Administration")</f>
        <v>1</v>
      </c>
      <c r="S311" s="45">
        <f>(R311/R332)*100</f>
        <v>0.27777777777777779</v>
      </c>
    </row>
    <row r="312" spans="2:19">
      <c r="B312" s="29" t="s">
        <v>223</v>
      </c>
      <c r="C312" s="28">
        <f>COUNTIF('Mediation Dataset (Sudans)'!$L$2:$L$1222, "Germany")</f>
        <v>20</v>
      </c>
      <c r="D312" s="28">
        <f>COUNTIF('Mediation Dataset (Sudans)'!$M$2:$M$1222, "Germany")</f>
        <v>0</v>
      </c>
      <c r="E312" s="28">
        <f>COUNTIF('Mediation Dataset (Sudans)'!$N$2:$N$1222, "Germany")</f>
        <v>50</v>
      </c>
      <c r="F312" s="28">
        <f t="shared" si="0"/>
        <v>70</v>
      </c>
      <c r="G312" s="28">
        <f>(F312/F387)*100</f>
        <v>4.9751243781094532</v>
      </c>
      <c r="Q312" s="46" t="s">
        <v>740</v>
      </c>
      <c r="R312" s="45">
        <f>COUNTIF('Mediation Dataset (Sudans)'!$G$2:$G$1222, "The Peaceful Co-Existence Committee")</f>
        <v>1</v>
      </c>
      <c r="S312" s="45">
        <f>(R312/R332)*100</f>
        <v>0.27777777777777779</v>
      </c>
    </row>
    <row r="313" spans="2:19">
      <c r="B313" s="29" t="s">
        <v>328</v>
      </c>
      <c r="C313" s="28">
        <f>COUNTIF('Mediation Dataset (Sudans)'!$L$2:$L$1222,"Pakistan")</f>
        <v>0</v>
      </c>
      <c r="D313" s="28">
        <f>COUNTIF('Mediation Dataset (Sudans)'!$M$2:$M$1222,"Pakistan")</f>
        <v>0</v>
      </c>
      <c r="E313" s="28">
        <f>COUNTIF('Mediation Dataset (Sudans)'!$N$2:$N$1222,"Pakistan")</f>
        <v>0</v>
      </c>
      <c r="F313" s="28">
        <f t="shared" si="0"/>
        <v>0</v>
      </c>
      <c r="G313" s="28">
        <f>(F313/F387)*100</f>
        <v>0</v>
      </c>
      <c r="Q313" s="46" t="s">
        <v>910</v>
      </c>
      <c r="R313" s="45">
        <f>COUNTIF('Mediation Dataset (Sudans)'!$G$2:$G$1222, "Burundi")</f>
        <v>1</v>
      </c>
      <c r="S313" s="45">
        <f>(R313/R332)*100</f>
        <v>0.27777777777777779</v>
      </c>
    </row>
    <row r="314" spans="2:19">
      <c r="B314" s="29" t="s">
        <v>329</v>
      </c>
      <c r="C314" s="28">
        <f>COUNTIF('Mediation Dataset (Sudans)'!$L$2:$L$1222,"Philippines")</f>
        <v>0</v>
      </c>
      <c r="D314" s="28">
        <f>COUNTIF('Mediation Dataset (Sudans)'!$M$2:$M$1222,"Philippines")</f>
        <v>0</v>
      </c>
      <c r="E314" s="28">
        <f>COUNTIF('Mediation Dataset (Sudans)'!$N$2:$N$1222,"Philippines")</f>
        <v>0</v>
      </c>
      <c r="F314" s="28">
        <f t="shared" ref="F314:F345" si="1">SUM(C314:E314)</f>
        <v>0</v>
      </c>
      <c r="G314" s="28">
        <f>(F314/F387)*100</f>
        <v>0</v>
      </c>
      <c r="Q314" s="46" t="s">
        <v>902</v>
      </c>
      <c r="R314" s="45">
        <f>COUNTIF('Mediation Dataset (Sudans)'!$G$2:$G$1222, "Equatorial Guinea")</f>
        <v>1</v>
      </c>
      <c r="S314" s="45">
        <f>(R314/R332)*100</f>
        <v>0.27777777777777779</v>
      </c>
    </row>
    <row r="315" spans="2:19">
      <c r="B315" s="29" t="s">
        <v>330</v>
      </c>
      <c r="C315" s="28">
        <f>COUNTIF('Mediation Dataset (Sudans)'!$L$2:$L$1222,"Romania")</f>
        <v>0</v>
      </c>
      <c r="D315" s="28">
        <f>COUNTIF('Mediation Dataset (Sudans)'!$M$2:$M$1222,"Romania")</f>
        <v>0</v>
      </c>
      <c r="E315" s="28">
        <f>COUNTIF('Mediation Dataset (Sudans)'!$N$2:$N$1222,"Romania")</f>
        <v>0</v>
      </c>
      <c r="F315" s="28">
        <f t="shared" si="1"/>
        <v>0</v>
      </c>
      <c r="G315" s="28">
        <f>(F315/F387)*100</f>
        <v>0</v>
      </c>
      <c r="Q315" s="46" t="s">
        <v>903</v>
      </c>
      <c r="R315" s="45">
        <f>COUNTIF('Mediation Dataset (Sudans)'!$G$2:$G$1222, "Lesotho")</f>
        <v>1</v>
      </c>
      <c r="S315" s="45">
        <f>(R315/R332)*100</f>
        <v>0.27777777777777779</v>
      </c>
    </row>
    <row r="316" spans="2:19">
      <c r="B316" s="29" t="s">
        <v>62</v>
      </c>
      <c r="C316" s="28">
        <f>COUNTIF('Mediation Dataset (Sudans)'!$L$2:$L$1222,"Russia")</f>
        <v>1</v>
      </c>
      <c r="D316" s="28">
        <f>COUNTIF('Mediation Dataset (Sudans)'!$M$2:$M$1222,"Russia")</f>
        <v>0</v>
      </c>
      <c r="E316" s="28">
        <f>COUNTIF('Mediation Dataset (Sudans)'!$N$2:$N$1222,"Russia")</f>
        <v>0</v>
      </c>
      <c r="F316" s="28">
        <f t="shared" si="1"/>
        <v>1</v>
      </c>
      <c r="G316" s="28">
        <f>(F316/F387)*100</f>
        <v>7.1073205401563616E-2</v>
      </c>
      <c r="Q316" s="46" t="s">
        <v>904</v>
      </c>
      <c r="R316" s="45">
        <f>COUNTIF('Mediation Dataset (Sudans)'!$G$2:$G$1222, "Morocco")</f>
        <v>1</v>
      </c>
      <c r="S316" s="45">
        <f>(R316/R332)*100</f>
        <v>0.27777777777777779</v>
      </c>
    </row>
    <row r="317" spans="2:19">
      <c r="B317" s="29" t="s">
        <v>331</v>
      </c>
      <c r="C317" s="28">
        <f>COUNTIF('Mediation Dataset (Sudans)'!$L$2:$L$1222,"Spain")</f>
        <v>1</v>
      </c>
      <c r="D317" s="28">
        <f>COUNTIF('Mediation Dataset (Sudans)'!$M$2:$M$1222,"Spain")</f>
        <v>0</v>
      </c>
      <c r="E317" s="28">
        <f>COUNTIF('Mediation Dataset (Sudans)'!$N$2:$N$1222,"Spain")</f>
        <v>0</v>
      </c>
      <c r="F317" s="28">
        <f t="shared" si="1"/>
        <v>1</v>
      </c>
      <c r="G317" s="28">
        <f>(F317/F387)*100</f>
        <v>7.1073205401563616E-2</v>
      </c>
      <c r="Q317" s="46" t="s">
        <v>905</v>
      </c>
      <c r="R317" s="45">
        <f>COUNTIF('Mediation Dataset (Sudans)'!$G$2:$G$1222, "Togo")</f>
        <v>1</v>
      </c>
      <c r="S317" s="45">
        <f>(R317/R332)*100</f>
        <v>0.27777777777777779</v>
      </c>
    </row>
    <row r="318" spans="2:19">
      <c r="B318" s="29" t="s">
        <v>377</v>
      </c>
      <c r="C318" s="28">
        <f>COUNTIF('Mediation Dataset (Sudans)'!$L$2:$L$1222, "Netherlands")</f>
        <v>0</v>
      </c>
      <c r="D318" s="28">
        <f>COUNTIF('Mediation Dataset (Sudans)'!$M$2:$M$1222, "Netherlands")</f>
        <v>0</v>
      </c>
      <c r="E318" s="28">
        <f>COUNTIF('Mediation Dataset (Sudans)'!$N$2:$N$1222, "Netherlands")</f>
        <v>0</v>
      </c>
      <c r="F318" s="28">
        <f t="shared" si="1"/>
        <v>0</v>
      </c>
      <c r="G318" s="28">
        <f>(F318/F387)*100</f>
        <v>0</v>
      </c>
      <c r="Q318" s="46" t="s">
        <v>906</v>
      </c>
      <c r="R318" s="45">
        <f>COUNTIF('Mediation Dataset (Sudans)'!$G$2:$G$1222, "Gabon")</f>
        <v>1</v>
      </c>
      <c r="S318" s="45">
        <f>(R318/R332)*100</f>
        <v>0.27777777777777779</v>
      </c>
    </row>
    <row r="319" spans="2:19">
      <c r="B319" s="29" t="s">
        <v>386</v>
      </c>
      <c r="C319" s="28">
        <f>COUNTIF('Mediation Dataset (Sudans)'!$L$2:$L$1222,"IPF")</f>
        <v>0</v>
      </c>
      <c r="D319" s="28">
        <f>COUNTIF('Mediation Dataset (Sudans)'!$M$2:$M$1222,"IPF")</f>
        <v>0</v>
      </c>
      <c r="E319" s="28">
        <f>COUNTIF('Mediation Dataset (Sudans)'!$N$2:$N$1222,"IPF")</f>
        <v>0</v>
      </c>
      <c r="F319" s="28">
        <f t="shared" si="1"/>
        <v>0</v>
      </c>
      <c r="G319" s="28">
        <f>(F319/F387)*100</f>
        <v>0</v>
      </c>
      <c r="Q319" s="46" t="s">
        <v>907</v>
      </c>
      <c r="R319" s="45">
        <f>COUNTIF('Mediation Dataset (Sudans)'!$G$2:$G$1222, "Liberia")</f>
        <v>1</v>
      </c>
      <c r="S319" s="45">
        <f>(R319/R332)*100</f>
        <v>0.27777777777777779</v>
      </c>
    </row>
    <row r="320" spans="2:19">
      <c r="B320" s="29" t="s">
        <v>157</v>
      </c>
      <c r="C320" s="28">
        <f>COUNTIF('Mediation Dataset (Sudans)'!$L$2:$L$1222,"Qatar")</f>
        <v>14</v>
      </c>
      <c r="D320" s="28">
        <f>COUNTIF('Mediation Dataset (Sudans)'!$M$2:$M$1222,"Qatar")</f>
        <v>0</v>
      </c>
      <c r="E320" s="28">
        <f>COUNTIF('Mediation Dataset (Sudans)'!$N$2:$N$1222,"Qatar")</f>
        <v>0</v>
      </c>
      <c r="F320" s="28">
        <f t="shared" si="1"/>
        <v>14</v>
      </c>
      <c r="G320" s="28">
        <f>(F320/F387)*100</f>
        <v>0.99502487562189057</v>
      </c>
      <c r="Q320" s="46" t="s">
        <v>908</v>
      </c>
      <c r="R320" s="45">
        <f>COUNTIF('Mediation Dataset (Sudans)'!$G$2:$G$1222, "Sierra Leone")</f>
        <v>1</v>
      </c>
      <c r="S320" s="45">
        <f>(R320/R332)*100</f>
        <v>0.27777777777777779</v>
      </c>
    </row>
    <row r="321" spans="2:19">
      <c r="B321" s="29" t="s">
        <v>163</v>
      </c>
      <c r="C321" s="28">
        <f>COUNTIF('Mediation Dataset (Sudans)'!$L$2:$L$1222, "Episcopal Church of Sudan")</f>
        <v>1</v>
      </c>
      <c r="D321" s="28">
        <f>COUNTIF('Mediation Dataset (Sudans)'!$M$2:$M$1222, "Episcopal Church of Sudan")</f>
        <v>0</v>
      </c>
      <c r="E321" s="28">
        <f>COUNTIF('Mediation Dataset (Sudans)'!$N$2:$N$1222, "Episcopal Church of Sudan")</f>
        <v>0</v>
      </c>
      <c r="F321" s="28">
        <f t="shared" si="1"/>
        <v>1</v>
      </c>
      <c r="G321" s="28">
        <f>(F321/F387)*100</f>
        <v>7.1073205401563616E-2</v>
      </c>
      <c r="Q321" s="46" t="s">
        <v>909</v>
      </c>
      <c r="R321" s="45">
        <f>COUNTIF('Mediation Dataset (Sudans)'!$G$2:$G$1222, "Zimbabwe")</f>
        <v>1</v>
      </c>
      <c r="S321" s="45">
        <f>(R321/R332)*100</f>
        <v>0.27777777777777779</v>
      </c>
    </row>
    <row r="322" spans="2:19">
      <c r="B322" s="29" t="s">
        <v>210</v>
      </c>
      <c r="C322" s="28">
        <f>COUNTIF('Mediation Dataset (Sudans)'!$L$2:$L$1222, "South Sudan Council of Churches")</f>
        <v>4</v>
      </c>
      <c r="D322" s="28">
        <f>COUNTIF('Mediation Dataset (Sudans)'!$M$2:$M$1222, "South Sudan Council of Churches")</f>
        <v>0</v>
      </c>
      <c r="E322" s="28">
        <f>COUNTIF('Mediation Dataset (Sudans)'!$N$2:$N$1222, "South Sudan Council of Churches")</f>
        <v>0</v>
      </c>
      <c r="F322" s="28">
        <f t="shared" si="1"/>
        <v>4</v>
      </c>
      <c r="G322" s="28">
        <f>(F322/F387)*100</f>
        <v>0.28429282160625446</v>
      </c>
      <c r="Q322" s="46" t="s">
        <v>927</v>
      </c>
      <c r="R322" s="45">
        <f>COUNTIF('Mediation Dataset (Sudans)'!$G$2:$G$1222, "Christian Relief")</f>
        <v>1</v>
      </c>
      <c r="S322" s="45">
        <f>(R322/R332)*100</f>
        <v>0.27777777777777779</v>
      </c>
    </row>
    <row r="323" spans="2:19">
      <c r="B323" s="29" t="s">
        <v>243</v>
      </c>
      <c r="C323" s="28">
        <f>COUNTIF('Mediation Dataset (Sudans)'!$L$2:$L$1222, "James Ellery")</f>
        <v>4</v>
      </c>
      <c r="D323" s="28">
        <f>COUNTIF('Mediation Dataset (Sudans)'!$M$2:$M$1222, "James Ellery")</f>
        <v>0</v>
      </c>
      <c r="E323" s="28">
        <f>COUNTIF('Mediation Dataset (Sudans)'!$N$2:$N$1222, "James Ellery")</f>
        <v>0</v>
      </c>
      <c r="F323" s="28">
        <f t="shared" si="1"/>
        <v>4</v>
      </c>
      <c r="G323" s="28">
        <f>(F323/F387)*100</f>
        <v>0.28429282160625446</v>
      </c>
      <c r="Q323" s="45" t="s">
        <v>941</v>
      </c>
      <c r="R323" s="45">
        <f>COUNTIF('Mediation Dataset (Sudans)'!$G$2:$G$1222, "Abyei businessmen")</f>
        <v>1</v>
      </c>
      <c r="S323" s="45">
        <f>(R323/R332)*100</f>
        <v>0.27777777777777779</v>
      </c>
    </row>
    <row r="324" spans="2:19">
      <c r="B324" s="28" t="s">
        <v>438</v>
      </c>
      <c r="C324" s="28">
        <f>COUNTIF('Mediation Dataset (Sudans)'!$L$2:$L$1222, "Local Murle elites")</f>
        <v>1</v>
      </c>
      <c r="D324" s="28">
        <f>COUNTIF('Mediation Dataset (Sudans)'!$M$2:$M$1222, "Local Murle elites")</f>
        <v>0</v>
      </c>
      <c r="E324" s="28">
        <f>COUNTIF('Mediation Dataset (Sudans)'!$N$2:$N$1222, "Local Murle elites")</f>
        <v>0</v>
      </c>
      <c r="F324" s="28">
        <f t="shared" si="1"/>
        <v>1</v>
      </c>
      <c r="G324" s="28">
        <f>(F324/F387)*100</f>
        <v>7.1073205401563616E-2</v>
      </c>
      <c r="Q324" s="46" t="s">
        <v>1131</v>
      </c>
      <c r="R324" s="45">
        <f>COUNTIF('Mediation Dataset (Sudans)'!$G$2:$G$1222, "RJMEC")</f>
        <v>10</v>
      </c>
      <c r="S324" s="45">
        <f>(R324/R332)*100</f>
        <v>2.7777777777777777</v>
      </c>
    </row>
    <row r="325" spans="2:19">
      <c r="B325" s="29" t="s">
        <v>245</v>
      </c>
      <c r="C325" s="28">
        <f>COUNTIF('Mediation Dataset (Sudans)'!$L$2:$L$1222,"Equatorian Church Leaders")</f>
        <v>4</v>
      </c>
      <c r="D325" s="28">
        <f>COUNTIF('Mediation Dataset (Sudans)'!$M$2:$M$1222,"Equatorian Church Leaders")</f>
        <v>0</v>
      </c>
      <c r="E325" s="28">
        <f>COUNTIF('Mediation Dataset (Sudans)'!$N$2:$N$1222,"Equatorian Church Leaders")</f>
        <v>0</v>
      </c>
      <c r="F325" s="28">
        <f t="shared" si="1"/>
        <v>4</v>
      </c>
      <c r="G325" s="28">
        <f>(F325/F387)*100</f>
        <v>0.28429282160625446</v>
      </c>
      <c r="Q325" s="46" t="s">
        <v>609</v>
      </c>
      <c r="R325" s="45">
        <f>COUNTIF('Mediation Dataset (Sudans)'!$G$2:$G$1222, "ICC")</f>
        <v>1</v>
      </c>
      <c r="S325" s="45">
        <f>(R325/R332)*100</f>
        <v>0.27777777777777779</v>
      </c>
    </row>
    <row r="326" spans="2:19">
      <c r="B326" s="29" t="s">
        <v>244</v>
      </c>
      <c r="C326" s="28">
        <f>COUNTIF('Mediation Dataset (Sudans)'!$L$2:$L$1222, "PAX")</f>
        <v>0</v>
      </c>
      <c r="D326" s="28">
        <f>COUNTIF('Mediation Dataset (Sudans)'!$M$2:$M$1222, "PAX")</f>
        <v>0</v>
      </c>
      <c r="E326" s="28">
        <f>COUNTIF('Mediation Dataset (Sudans)'!$N$2:$N$1222, "PAX")</f>
        <v>0</v>
      </c>
      <c r="F326" s="28">
        <f t="shared" si="1"/>
        <v>0</v>
      </c>
      <c r="G326" s="28">
        <f>(F326/F387)*100</f>
        <v>0</v>
      </c>
      <c r="Q326" s="46" t="s">
        <v>973</v>
      </c>
      <c r="R326" s="45">
        <f>COUNTIF('Mediation Dataset (Sudans)'!$G$2:$G$1222, "South Sudanese religious leaders")</f>
        <v>1</v>
      </c>
      <c r="S326" s="45">
        <f>(R326/R332)*100</f>
        <v>0.27777777777777779</v>
      </c>
    </row>
    <row r="327" spans="2:19">
      <c r="B327" s="29" t="s">
        <v>1173</v>
      </c>
      <c r="C327" s="28">
        <f>COUNTIF('Mediation Dataset (Sudans)'!$L$2:$L$1222,"Norwegian Church Aid")</f>
        <v>0</v>
      </c>
      <c r="D327" s="28">
        <f>COUNTIF('Mediation Dataset (Sudans)'!$M$2:$M$1222,"Norwegian Church Aid")</f>
        <v>0</v>
      </c>
      <c r="E327" s="28">
        <f>COUNTIF('Mediation Dataset (Sudans)'!$N$2:$N$1222,"Norwegian Church Aid")</f>
        <v>0</v>
      </c>
      <c r="F327" s="28">
        <f t="shared" si="1"/>
        <v>0</v>
      </c>
      <c r="G327" s="28">
        <f>(F327/F387)*100</f>
        <v>0</v>
      </c>
      <c r="Q327" s="46" t="s">
        <v>1006</v>
      </c>
      <c r="R327" s="45">
        <f>COUNTIF('Mediation Dataset (Sudans)'!$G$2:$G$1222, "African Diplomatic Corps")</f>
        <v>3</v>
      </c>
      <c r="S327" s="45">
        <f>(R327/R332)*100</f>
        <v>0.83333333333333337</v>
      </c>
    </row>
    <row r="328" spans="2:19">
      <c r="B328" s="29" t="s">
        <v>211</v>
      </c>
      <c r="C328" s="28">
        <f>COUNTIF('Mediation Dataset (Sudans)'!$L$2:$L$1222,"Shilluk reth")</f>
        <v>3</v>
      </c>
      <c r="D328" s="28">
        <f>COUNTIF('Mediation Dataset (Sudans)'!$M$2:$M$1222,"Shilluk reth")</f>
        <v>0</v>
      </c>
      <c r="E328" s="28">
        <f>COUNTIF('Mediation Dataset (Sudans)'!$N$2:$N$1222,"Shilluk reth")</f>
        <v>0</v>
      </c>
      <c r="F328" s="28">
        <f t="shared" si="1"/>
        <v>3</v>
      </c>
      <c r="G328" s="28">
        <f>(F328/F387)*100</f>
        <v>0.21321961620469082</v>
      </c>
      <c r="Q328" s="46" t="s">
        <v>1025</v>
      </c>
      <c r="R328" s="45">
        <f>COUNTIF('Mediation Dataset (Sudans)'!$G$2:$G$1222, "Türkiye")</f>
        <v>3</v>
      </c>
      <c r="S328" s="45">
        <f>(R328/R332)*100</f>
        <v>0.83333333333333337</v>
      </c>
    </row>
    <row r="329" spans="2:19">
      <c r="B329" s="29" t="s">
        <v>60</v>
      </c>
      <c r="C329" s="28">
        <f>COUNTIF('Mediation Dataset (Sudans)'!$L$2:$L$1222, "Sudan")</f>
        <v>8</v>
      </c>
      <c r="D329" s="28">
        <f>COUNTIF('Mediation Dataset (Sudans)'!$M$2:$M$1222, "Sudan")</f>
        <v>0</v>
      </c>
      <c r="E329" s="28">
        <f>COUNTIF('Mediation Dataset (Sudans)'!$N$2:$N$1222, "Sudan")</f>
        <v>0</v>
      </c>
      <c r="F329" s="28">
        <f t="shared" si="1"/>
        <v>8</v>
      </c>
      <c r="G329" s="28">
        <f>(F329/F387)*100</f>
        <v>0.56858564321250893</v>
      </c>
      <c r="Q329" s="46" t="s">
        <v>1054</v>
      </c>
      <c r="R329" s="45">
        <f>COUNTIF('Mediation Dataset (Sudans)'!$G$2:$G$1222, "CTSAMVM")</f>
        <v>1</v>
      </c>
      <c r="S329" s="45">
        <f>(R329/R332)*100</f>
        <v>0.27777777777777779</v>
      </c>
    </row>
    <row r="330" spans="2:19">
      <c r="B330" s="29" t="s">
        <v>246</v>
      </c>
      <c r="C330" s="28">
        <f>COUNTIF('Mediation Dataset (Sudans)'!$L$2:$L$1222, "South Sudanese Church Leaders")</f>
        <v>1</v>
      </c>
      <c r="D330" s="28">
        <f>COUNTIF('Mediation Dataset (Sudans)'!$M$2:$M$1222, "South Sudanese Church Leaders")</f>
        <v>0</v>
      </c>
      <c r="E330" s="28">
        <f>COUNTIF('Mediation Dataset (Sudans)'!$N$2:$N$1222, "South Sudanese Church Leaders")</f>
        <v>0</v>
      </c>
      <c r="F330" s="28">
        <f t="shared" si="1"/>
        <v>1</v>
      </c>
      <c r="G330" s="28">
        <f>(F330/F387)*100</f>
        <v>7.1073205401563616E-2</v>
      </c>
      <c r="Q330" s="46" t="s">
        <v>846</v>
      </c>
      <c r="R330" s="45">
        <f>COUNTIF('Mediation Dataset (Sudans)'!$G$2:$G$1222, "National Democratic Institute")</f>
        <v>1</v>
      </c>
      <c r="S330" s="45">
        <f>(R330/R332)*100</f>
        <v>0.27777777777777779</v>
      </c>
    </row>
    <row r="331" spans="2:19">
      <c r="B331" s="29" t="s">
        <v>229</v>
      </c>
      <c r="C331" s="28">
        <f>COUNTIF('Mediation Dataset (Sudans)'!$L$2:$L$1222,"Tanzania")</f>
        <v>1</v>
      </c>
      <c r="D331" s="28">
        <f>COUNTIF('Mediation Dataset (Sudans)'!$M$2:$M$1222,"Tanzania")</f>
        <v>0</v>
      </c>
      <c r="E331" s="28">
        <f>COUNTIF('Mediation Dataset (Sudans)'!$N$2:$N$1222,"Tanzania")</f>
        <v>0</v>
      </c>
      <c r="F331" s="28">
        <f t="shared" si="1"/>
        <v>1</v>
      </c>
      <c r="G331" s="28">
        <f>(F331/F387)*100</f>
        <v>7.1073205401563616E-2</v>
      </c>
      <c r="Q331" s="45"/>
      <c r="R331" s="45"/>
      <c r="S331" s="45"/>
    </row>
    <row r="332" spans="2:19">
      <c r="B332" s="29" t="s">
        <v>249</v>
      </c>
      <c r="C332" s="28">
        <f>COUNTIF('Mediation Dataset (Sudans)'!$L$2:$L$1222,"China")</f>
        <v>1</v>
      </c>
      <c r="D332" s="28">
        <f>COUNTIF('Mediation Dataset (Sudans)'!$M$2:$M$1222,"China")</f>
        <v>0</v>
      </c>
      <c r="E332" s="28">
        <f>COUNTIF('Mediation Dataset (Sudans)'!$N$2:$N$1222,"China")</f>
        <v>0</v>
      </c>
      <c r="F332" s="28">
        <f t="shared" si="1"/>
        <v>1</v>
      </c>
      <c r="G332" s="28">
        <f>(F332/F387)*100</f>
        <v>7.1073205401563616E-2</v>
      </c>
      <c r="Q332" s="47" t="s">
        <v>1181</v>
      </c>
      <c r="R332" s="45">
        <v>360</v>
      </c>
      <c r="S332" s="45"/>
    </row>
    <row r="333" spans="2:19">
      <c r="B333" s="29" t="s">
        <v>485</v>
      </c>
      <c r="C333" s="28">
        <f>COUNTIF('Mediation Dataset (Sudans)'!$L$2:$L$1222,"Somalia")</f>
        <v>0</v>
      </c>
      <c r="D333" s="28">
        <f>COUNTIF('Mediation Dataset (Sudans)'!$M$2:$M$1222,"Somalia")</f>
        <v>0</v>
      </c>
      <c r="E333" s="28">
        <f>COUNTIF('Mediation Dataset (Sudans)'!$N$2:$N$1222,"Somalia")</f>
        <v>0</v>
      </c>
      <c r="F333" s="28">
        <f t="shared" si="1"/>
        <v>0</v>
      </c>
      <c r="G333" s="28">
        <f>(F333/F387)*100</f>
        <v>0</v>
      </c>
    </row>
    <row r="334" spans="2:19">
      <c r="B334" s="29" t="s">
        <v>482</v>
      </c>
      <c r="C334" s="28">
        <f>COUNTIF('Mediation Dataset (Sudans)'!$L$2:$L$1222, "Rwanda")</f>
        <v>0</v>
      </c>
      <c r="D334" s="28">
        <f>COUNTIF('Mediation Dataset (Sudans)'!$M$2:$M$1222, "Rwanda")</f>
        <v>0</v>
      </c>
      <c r="E334" s="28">
        <f>COUNTIF('Mediation Dataset (Sudans)'!$N$2:$N$1222, "Rwanda")</f>
        <v>0</v>
      </c>
      <c r="F334" s="28">
        <f t="shared" si="1"/>
        <v>0</v>
      </c>
      <c r="G334" s="28">
        <f>(F334/F387)*100</f>
        <v>0</v>
      </c>
    </row>
    <row r="335" spans="2:19">
      <c r="B335" s="29" t="s">
        <v>507</v>
      </c>
      <c r="C335" s="28">
        <f>COUNTIF('Mediation Dataset (Sudans)'!$L$2:$L$1222, "Ghana")</f>
        <v>0</v>
      </c>
      <c r="D335" s="28">
        <f>COUNTIF('Mediation Dataset (Sudans)'!$M$2:$M$1222, "Ghana")</f>
        <v>0</v>
      </c>
      <c r="E335" s="28">
        <f>COUNTIF('Mediation Dataset (Sudans)'!$N$2:$N$1222, "Ghana")</f>
        <v>0</v>
      </c>
      <c r="F335" s="28">
        <f t="shared" si="1"/>
        <v>0</v>
      </c>
      <c r="G335" s="28">
        <f>(F335/F387)*100</f>
        <v>0</v>
      </c>
    </row>
    <row r="336" spans="2:19">
      <c r="B336" s="29" t="s">
        <v>965</v>
      </c>
      <c r="C336" s="28">
        <f>COUNTIF('Mediation Dataset (Sudans)'!$L$2:$L$1222, "Community of Sant’ Egidio")</f>
        <v>12</v>
      </c>
      <c r="D336" s="28">
        <f>COUNTIF('Mediation Dataset (Sudans)'!$M$2:$M$1222, "Community of Sant’ Egidio")</f>
        <v>0</v>
      </c>
      <c r="E336" s="28">
        <f>COUNTIF('Mediation Dataset (Sudans)'!$N$2:$N$1222, "Community of Sant’ Egidio")</f>
        <v>0</v>
      </c>
      <c r="F336" s="28">
        <f t="shared" si="1"/>
        <v>12</v>
      </c>
      <c r="G336" s="28">
        <f>(F336/F387)*100</f>
        <v>0.85287846481876328</v>
      </c>
    </row>
    <row r="337" spans="2:7">
      <c r="B337" s="29" t="s">
        <v>252</v>
      </c>
      <c r="C337" s="28">
        <f>COUNTIF('Mediation Dataset (Sudans)'!$L$2:$L$1222, "Berghof Foundation")</f>
        <v>0</v>
      </c>
      <c r="D337" s="28">
        <f>COUNTIF('Mediation Dataset (Sudans)'!$M$2:$M$1222, "Berghof Foundation")</f>
        <v>0</v>
      </c>
      <c r="E337" s="28">
        <f>COUNTIF('Mediation Dataset (Sudans)'!$N$2:$N$1222, "Berghof Foundation")</f>
        <v>0</v>
      </c>
      <c r="F337" s="28">
        <f t="shared" si="1"/>
        <v>0</v>
      </c>
      <c r="G337" s="28">
        <f>(F337/F387)*100</f>
        <v>0</v>
      </c>
    </row>
    <row r="338" spans="2:7">
      <c r="B338" s="29" t="s">
        <v>671</v>
      </c>
      <c r="C338" s="28">
        <f>COUNTIF('Mediation Dataset (Sudans)'!$L$2:$L$1222,"Ireland")</f>
        <v>0</v>
      </c>
      <c r="D338" s="28">
        <f>COUNTIF('Mediation Dataset (Sudans)'!$M$2:$M$1222,"Ireland")</f>
        <v>4</v>
      </c>
      <c r="E338" s="28">
        <f>COUNTIF('Mediation Dataset (Sudans)'!$N$2:$N$1222,"Ireland")</f>
        <v>0</v>
      </c>
      <c r="F338" s="28">
        <f t="shared" si="1"/>
        <v>4</v>
      </c>
      <c r="G338" s="28">
        <f>(F338/F387)*100</f>
        <v>0.28429282160625446</v>
      </c>
    </row>
    <row r="339" spans="2:7">
      <c r="B339" s="29" t="s">
        <v>612</v>
      </c>
      <c r="C339" s="28">
        <f>COUNTIF('Mediation Dataset (Sudans)'!$L$2:$L$1222,"Japan")</f>
        <v>0</v>
      </c>
      <c r="D339" s="28">
        <f>COUNTIF('Mediation Dataset (Sudans)'!$M$2:$M$1222,"Japan")</f>
        <v>0</v>
      </c>
      <c r="E339" s="28">
        <f>COUNTIF('Mediation Dataset (Sudans)'!$N$2:$N$1222,"Japan")</f>
        <v>0</v>
      </c>
      <c r="F339" s="28">
        <f t="shared" si="1"/>
        <v>0</v>
      </c>
      <c r="G339" s="28">
        <f>(F339/F387)*100</f>
        <v>0</v>
      </c>
    </row>
    <row r="340" spans="2:7">
      <c r="B340" s="29" t="s">
        <v>615</v>
      </c>
      <c r="C340" s="28">
        <f>COUNTIF('Mediation Dataset (Sudans)'!$L$2:$L$1222, "United Arab Emirates")</f>
        <v>1</v>
      </c>
      <c r="D340" s="28">
        <f>COUNTIF('Mediation Dataset (Sudans)'!$M$2:$M$1222, "United Arab Emirates")</f>
        <v>0</v>
      </c>
      <c r="E340" s="28">
        <f>COUNTIF('Mediation Dataset (Sudans)'!$N$2:$N$1222, "United Arab Emirates")</f>
        <v>0</v>
      </c>
      <c r="F340" s="28">
        <f t="shared" si="1"/>
        <v>1</v>
      </c>
      <c r="G340" s="28">
        <f>(F340/F387)*100</f>
        <v>7.1073205401563616E-2</v>
      </c>
    </row>
    <row r="341" spans="2:7">
      <c r="B341" s="29" t="s">
        <v>18</v>
      </c>
      <c r="C341" s="28">
        <f>COUNTIF('Mediation Dataset (Sudans)'!$L$2:$L$1222, "South Sudan")</f>
        <v>31</v>
      </c>
      <c r="D341" s="28">
        <f>COUNTIF('Mediation Dataset (Sudans)'!$M$2:$M$1222, "South Sudan")</f>
        <v>0</v>
      </c>
      <c r="E341" s="28">
        <f>COUNTIF('Mediation Dataset (Sudans)'!$N$2:$N$1222, "South Sudan")</f>
        <v>0</v>
      </c>
      <c r="F341" s="28">
        <f t="shared" si="1"/>
        <v>31</v>
      </c>
      <c r="G341" s="28">
        <f>(F341/F387)*100</f>
        <v>2.2032693674484722</v>
      </c>
    </row>
    <row r="342" spans="2:7">
      <c r="B342" s="29" t="s">
        <v>547</v>
      </c>
      <c r="C342" s="28">
        <f>COUNTIF('Mediation Dataset (Sudans)'!$L$2:$L$1222,"ICRC")</f>
        <v>2</v>
      </c>
      <c r="D342" s="28">
        <f>COUNTIF('Mediation Dataset (Sudans)'!$M$2:$M$1222,"ICRC")</f>
        <v>0</v>
      </c>
      <c r="E342" s="28">
        <f>COUNTIF('Mediation Dataset (Sudans)'!$N$2:$N$1222,"ICRC")</f>
        <v>0</v>
      </c>
      <c r="F342" s="28">
        <f t="shared" si="1"/>
        <v>2</v>
      </c>
      <c r="G342" s="28">
        <f>(F342/F387)*100</f>
        <v>0.14214641080312723</v>
      </c>
    </row>
    <row r="343" spans="2:7">
      <c r="B343" s="29" t="s">
        <v>567</v>
      </c>
      <c r="C343" s="28">
        <f>COUNTIF('Mediation Dataset (Sudans)'!$L$2:$L$1222,"Sweden")</f>
        <v>20</v>
      </c>
      <c r="D343" s="28">
        <f>COUNTIF('Mediation Dataset (Sudans)'!$M$2:$M$1222,"Sweden")</f>
        <v>0</v>
      </c>
      <c r="E343" s="28">
        <f>COUNTIF('Mediation Dataset (Sudans)'!$N$2:$N$1222,"Sweden")</f>
        <v>4</v>
      </c>
      <c r="F343" s="28">
        <f t="shared" si="1"/>
        <v>24</v>
      </c>
      <c r="G343" s="28">
        <f>(F343/F387)*100</f>
        <v>1.7057569296375266</v>
      </c>
    </row>
    <row r="344" spans="2:7">
      <c r="B344" s="29" t="s">
        <v>605</v>
      </c>
      <c r="C344" s="28">
        <f>COUNTIF('Mediation Dataset (Sudans)'!$L$2:$L$1222,"ACCORD")</f>
        <v>2</v>
      </c>
      <c r="D344" s="28">
        <f>COUNTIF('Mediation Dataset (Sudans)'!$M$2:$M$1222,"ACCORD")</f>
        <v>0</v>
      </c>
      <c r="E344" s="28">
        <f>COUNTIF('Mediation Dataset (Sudans)'!$N$2:$N$1222,"ACCORD")</f>
        <v>0</v>
      </c>
      <c r="F344" s="28">
        <f t="shared" si="1"/>
        <v>2</v>
      </c>
      <c r="G344" s="28">
        <f>(F344/F387)*100</f>
        <v>0.14214641080312723</v>
      </c>
    </row>
    <row r="345" spans="2:7">
      <c r="B345" s="29" t="s">
        <v>610</v>
      </c>
      <c r="C345" s="28">
        <f>COUNTIF('Mediation Dataset (Sudans)'!$L$2:$L$1222,"African Development Bank")</f>
        <v>0</v>
      </c>
      <c r="D345" s="28">
        <f>COUNTIF('Mediation Dataset (Sudans)'!$M$2:$M$1222,"African Development Bank")</f>
        <v>0</v>
      </c>
      <c r="E345" s="28">
        <f>COUNTIF('Mediation Dataset (Sudans)'!$N$2:$N$1222,"African Development Bank")</f>
        <v>0</v>
      </c>
      <c r="F345" s="28">
        <f t="shared" si="1"/>
        <v>0</v>
      </c>
      <c r="G345" s="28">
        <f>(F345/F387)*100</f>
        <v>0</v>
      </c>
    </row>
    <row r="346" spans="2:7">
      <c r="B346" s="29" t="s">
        <v>611</v>
      </c>
      <c r="C346" s="28">
        <f>COUNTIF('Mediation Dataset (Sudans)'!$L$2:$L$1222,"Canada")</f>
        <v>0</v>
      </c>
      <c r="D346" s="28">
        <f>COUNTIF('Mediation Dataset (Sudans)'!$M$2:$M$1222,"Canada")</f>
        <v>0</v>
      </c>
      <c r="E346" s="28">
        <f>COUNTIF('Mediation Dataset (Sudans)'!$N$2:$N$1222,"Canada")</f>
        <v>0</v>
      </c>
      <c r="F346" s="28">
        <f t="shared" ref="F346:F377" si="2">SUM(C346:E346)</f>
        <v>0</v>
      </c>
      <c r="G346" s="28">
        <f>(F346/F387)*100</f>
        <v>0</v>
      </c>
    </row>
    <row r="347" spans="2:7">
      <c r="B347" s="29" t="s">
        <v>613</v>
      </c>
      <c r="C347" s="28">
        <f>COUNTIF('Mediation Dataset (Sudans)'!$L$2:$L$1222,"Kuwait")</f>
        <v>0</v>
      </c>
      <c r="D347" s="28">
        <f>COUNTIF('Mediation Dataset (Sudans)'!$M$2:$M$1222,"Kuwait")</f>
        <v>0</v>
      </c>
      <c r="E347" s="28">
        <f>COUNTIF('Mediation Dataset (Sudans)'!$N$2:$N$1222,"Kuwait")</f>
        <v>0</v>
      </c>
      <c r="F347" s="28">
        <f t="shared" si="2"/>
        <v>0</v>
      </c>
      <c r="G347" s="28">
        <f>(F347/F387)*100</f>
        <v>0</v>
      </c>
    </row>
    <row r="348" spans="2:7">
      <c r="B348" s="29" t="s">
        <v>616</v>
      </c>
      <c r="C348" s="28">
        <f>COUNTIF('Mediation Dataset (Sudans)'!$L$2:$L$1222, "World Bank")</f>
        <v>0</v>
      </c>
      <c r="D348" s="28">
        <f>COUNTIF('Mediation Dataset (Sudans)'!$M$2:$M$1222, "World Bank")</f>
        <v>0</v>
      </c>
      <c r="E348" s="28">
        <f>COUNTIF('Mediation Dataset (Sudans)'!$N$2:$N$1222, "World Bank")</f>
        <v>0</v>
      </c>
      <c r="F348" s="28">
        <f t="shared" si="2"/>
        <v>0</v>
      </c>
      <c r="G348" s="28">
        <f>(F348/F387)*100</f>
        <v>0</v>
      </c>
    </row>
    <row r="349" spans="2:7">
      <c r="B349" s="29" t="s">
        <v>663</v>
      </c>
      <c r="C349" s="28">
        <f>COUNTIF('Mediation Dataset (Sudans)'!$L$2:$L$1222, "Belgium")</f>
        <v>0</v>
      </c>
      <c r="D349" s="28">
        <f>COUNTIF('Mediation Dataset (Sudans)'!$M$2:$M$1222, "Belgium")</f>
        <v>0</v>
      </c>
      <c r="E349" s="28">
        <f>COUNTIF('Mediation Dataset (Sudans)'!$N$2:$N$1222, "Belgium")</f>
        <v>0</v>
      </c>
      <c r="F349" s="28">
        <f t="shared" si="2"/>
        <v>0</v>
      </c>
      <c r="G349" s="28">
        <f>(F349/F387)*100</f>
        <v>0</v>
      </c>
    </row>
    <row r="350" spans="2:7">
      <c r="B350" s="29" t="s">
        <v>664</v>
      </c>
      <c r="C350" s="28">
        <f>COUNTIF('Mediation Dataset (Sudans)'!$L$2:$L$1222, "Croatia")</f>
        <v>0</v>
      </c>
      <c r="D350" s="28">
        <f>COUNTIF('Mediation Dataset (Sudans)'!$M$2:$M$1222, "Croatia")</f>
        <v>0</v>
      </c>
      <c r="E350" s="28">
        <f>COUNTIF('Mediation Dataset (Sudans)'!$N$2:$N$1222, "Croatia")</f>
        <v>0</v>
      </c>
      <c r="F350" s="28">
        <f t="shared" si="2"/>
        <v>0</v>
      </c>
      <c r="G350" s="28">
        <f>(F350/F387)*100</f>
        <v>0</v>
      </c>
    </row>
    <row r="351" spans="2:7">
      <c r="B351" s="29" t="s">
        <v>665</v>
      </c>
      <c r="C351" s="28">
        <f>COUNTIF('Mediation Dataset (Sudans)'!$L$2:$L$1222, "Czechia")</f>
        <v>0</v>
      </c>
      <c r="D351" s="28">
        <f>COUNTIF('Mediation Dataset (Sudans)'!$M$2:$M$1222, "Czechia")</f>
        <v>0</v>
      </c>
      <c r="E351" s="28">
        <f>COUNTIF('Mediation Dataset (Sudans)'!$N$2:$N$1222, "Czechia")</f>
        <v>0</v>
      </c>
      <c r="F351" s="28">
        <f t="shared" si="2"/>
        <v>0</v>
      </c>
      <c r="G351" s="28">
        <f>(F351/F387)*100</f>
        <v>0</v>
      </c>
    </row>
    <row r="352" spans="2:7">
      <c r="B352" s="29" t="s">
        <v>666</v>
      </c>
      <c r="C352" s="28">
        <f>COUNTIF('Mediation Dataset (Sudans)'!$L$2:$L$1222,"Denmark")</f>
        <v>0</v>
      </c>
      <c r="D352" s="28">
        <f>COUNTIF('Mediation Dataset (Sudans)'!$M$2:$M$1222,"Denmark")</f>
        <v>0</v>
      </c>
      <c r="E352" s="28">
        <f>COUNTIF('Mediation Dataset (Sudans)'!$N$2:$N$1222,"Denmark")</f>
        <v>0</v>
      </c>
      <c r="F352" s="28">
        <f t="shared" si="2"/>
        <v>0</v>
      </c>
      <c r="G352" s="28">
        <f>(F352/F387)*100</f>
        <v>0</v>
      </c>
    </row>
    <row r="353" spans="2:7">
      <c r="B353" s="29" t="s">
        <v>667</v>
      </c>
      <c r="C353" s="28">
        <f>COUNTIF('Mediation Dataset (Sudans)'!$L$2:$L$1222,"Estonia")</f>
        <v>0</v>
      </c>
      <c r="D353" s="28">
        <f>COUNTIF('Mediation Dataset (Sudans)'!$M$2:$M$1222,"Estonia")</f>
        <v>0</v>
      </c>
      <c r="E353" s="28">
        <f>COUNTIF('Mediation Dataset (Sudans)'!$N$2:$N$1222,"Estonia")</f>
        <v>0</v>
      </c>
      <c r="F353" s="28">
        <f t="shared" si="2"/>
        <v>0</v>
      </c>
      <c r="G353" s="28">
        <f>(F353/F387)*100</f>
        <v>0</v>
      </c>
    </row>
    <row r="354" spans="2:7">
      <c r="B354" s="29" t="s">
        <v>668</v>
      </c>
      <c r="C354" s="28">
        <f>COUNTIF('Mediation Dataset (Sudans)'!$L$2:$L$1222,"Finland")</f>
        <v>0</v>
      </c>
      <c r="D354" s="28">
        <f>COUNTIF('Mediation Dataset (Sudans)'!$M$2:$M$1222,"Finland")</f>
        <v>0</v>
      </c>
      <c r="E354" s="28">
        <f>COUNTIF('Mediation Dataset (Sudans)'!$N$2:$N$1222,"Finland")</f>
        <v>0</v>
      </c>
      <c r="F354" s="28">
        <f t="shared" si="2"/>
        <v>0</v>
      </c>
      <c r="G354" s="28">
        <f>(F354/F387)*100</f>
        <v>0</v>
      </c>
    </row>
    <row r="355" spans="2:7">
      <c r="B355" s="29" t="s">
        <v>669</v>
      </c>
      <c r="C355" s="28">
        <f>COUNTIF('Mediation Dataset (Sudans)'!$L$2:$L$1222, "Greece")</f>
        <v>0</v>
      </c>
      <c r="D355" s="28">
        <f>COUNTIF('Mediation Dataset (Sudans)'!$M$2:$M$1222, "Greece")</f>
        <v>0</v>
      </c>
      <c r="E355" s="28">
        <f>COUNTIF('Mediation Dataset (Sudans)'!$N$2:$N$1222, "Greece")</f>
        <v>0</v>
      </c>
      <c r="F355" s="28">
        <f t="shared" si="2"/>
        <v>0</v>
      </c>
      <c r="G355" s="28">
        <f>(F355/F387)*100</f>
        <v>0</v>
      </c>
    </row>
    <row r="356" spans="2:7">
      <c r="B356" s="29" t="s">
        <v>670</v>
      </c>
      <c r="C356" s="28">
        <f>COUNTIF('Mediation Dataset (Sudans)'!$L$2:$L$1222,"Hungary")</f>
        <v>0</v>
      </c>
      <c r="D356" s="28">
        <f>COUNTIF('Mediation Dataset (Sudans)'!$M$2:$M$1222,"Hungary")</f>
        <v>0</v>
      </c>
      <c r="E356" s="28">
        <f>COUNTIF('Mediation Dataset (Sudans)'!$N$2:$N$1222,"Hungary")</f>
        <v>0</v>
      </c>
      <c r="F356" s="28">
        <f t="shared" si="2"/>
        <v>0</v>
      </c>
      <c r="G356" s="28">
        <f>(F356/F387)*100</f>
        <v>0</v>
      </c>
    </row>
    <row r="357" spans="2:7">
      <c r="B357" s="29" t="s">
        <v>672</v>
      </c>
      <c r="C357" s="28">
        <f>COUNTIF('Mediation Dataset (Sudans)'!$L$2:$L$1222,"Lithuania")</f>
        <v>0</v>
      </c>
      <c r="D357" s="28">
        <f>COUNTIF('Mediation Dataset (Sudans)'!$M$2:$M$1222,"Lithuania")</f>
        <v>0</v>
      </c>
      <c r="E357" s="28">
        <f>COUNTIF('Mediation Dataset (Sudans)'!$N$2:$N$1222,"Lithuania")</f>
        <v>0</v>
      </c>
      <c r="F357" s="28">
        <f t="shared" si="2"/>
        <v>0</v>
      </c>
      <c r="G357" s="28">
        <f>(F357/F387)*100</f>
        <v>0</v>
      </c>
    </row>
    <row r="358" spans="2:7">
      <c r="B358" s="29" t="s">
        <v>673</v>
      </c>
      <c r="C358" s="28">
        <f>COUNTIF('Mediation Dataset (Sudans)'!$L$2:$L$1222, "Malta")</f>
        <v>0</v>
      </c>
      <c r="D358" s="28">
        <f>COUNTIF('Mediation Dataset (Sudans)'!$M$2:$M$1222, "Malta")</f>
        <v>0</v>
      </c>
      <c r="E358" s="28">
        <f>COUNTIF('Mediation Dataset (Sudans)'!$N$2:$N$1222, "Malta")</f>
        <v>0</v>
      </c>
      <c r="F358" s="28">
        <f t="shared" si="2"/>
        <v>0</v>
      </c>
      <c r="G358" s="28">
        <f>(F358/F387)*100</f>
        <v>0</v>
      </c>
    </row>
    <row r="359" spans="2:7">
      <c r="B359" s="29" t="s">
        <v>674</v>
      </c>
      <c r="C359" s="28">
        <f>COUNTIF('Mediation Dataset (Sudans)'!$L$2:$L$1222,"Poland")</f>
        <v>0</v>
      </c>
      <c r="D359" s="28">
        <f>COUNTIF('Mediation Dataset (Sudans)'!$M$2:$M$1222,"Poland")</f>
        <v>0</v>
      </c>
      <c r="E359" s="28">
        <f>COUNTIF('Mediation Dataset (Sudans)'!$N$2:$N$1222,"Poland")</f>
        <v>0</v>
      </c>
      <c r="F359" s="28">
        <f t="shared" si="2"/>
        <v>0</v>
      </c>
      <c r="G359" s="28">
        <f>(F359/F387)*100</f>
        <v>0</v>
      </c>
    </row>
    <row r="360" spans="2:7">
      <c r="B360" s="29" t="s">
        <v>675</v>
      </c>
      <c r="C360" s="28">
        <f>COUNTIF('Mediation Dataset (Sudans)'!$L$2:$L$1222, "Portugal")</f>
        <v>0</v>
      </c>
      <c r="D360" s="28">
        <f>COUNTIF('Mediation Dataset (Sudans)'!$M$2:$M$1222, "Portugal")</f>
        <v>0</v>
      </c>
      <c r="E360" s="28">
        <f>COUNTIF('Mediation Dataset (Sudans)'!$N$2:$N$1222, "Portugal")</f>
        <v>0</v>
      </c>
      <c r="F360" s="28">
        <f t="shared" si="2"/>
        <v>0</v>
      </c>
      <c r="G360" s="28">
        <f>(F360/F387)*100</f>
        <v>0</v>
      </c>
    </row>
    <row r="361" spans="2:7">
      <c r="B361" s="29" t="s">
        <v>676</v>
      </c>
      <c r="C361" s="28">
        <f>COUNTIF('Mediation Dataset (Sudans)'!$L$2:$L$1222, "The Republic of Korea")</f>
        <v>0</v>
      </c>
      <c r="D361" s="28">
        <f>COUNTIF('Mediation Dataset (Sudans)'!$M$2:$M$1222, "The Republic of Korea")</f>
        <v>0</v>
      </c>
      <c r="E361" s="28">
        <f>COUNTIF('Mediation Dataset (Sudans)'!$N$2:$N$1222, "The Republic of Korea")</f>
        <v>0</v>
      </c>
      <c r="F361" s="28">
        <f t="shared" si="2"/>
        <v>0</v>
      </c>
      <c r="G361" s="28">
        <f>(F361/F387)*100</f>
        <v>0</v>
      </c>
    </row>
    <row r="362" spans="2:7">
      <c r="B362" s="29" t="s">
        <v>677</v>
      </c>
      <c r="C362" s="28">
        <f>COUNTIF('Mediation Dataset (Sudans)'!$L$2:$L$1222,"Slovenia")</f>
        <v>0</v>
      </c>
      <c r="D362" s="28">
        <f>COUNTIF('Mediation Dataset (Sudans)'!$M$2:$M$1222,"Slovenia")</f>
        <v>0</v>
      </c>
      <c r="E362" s="28">
        <f>COUNTIF('Mediation Dataset (Sudans)'!$N$2:$N$1222,"Slovenia")</f>
        <v>0</v>
      </c>
      <c r="F362" s="28">
        <f t="shared" si="2"/>
        <v>0</v>
      </c>
      <c r="G362" s="28">
        <f>(F362/F387)*100</f>
        <v>0</v>
      </c>
    </row>
    <row r="363" spans="2:7">
      <c r="B363" s="29" t="s">
        <v>678</v>
      </c>
      <c r="C363" s="28">
        <f>COUNTIF('Mediation Dataset (Sudans)'!$L$2:$L$1222,"Arab Fund for Social Development")</f>
        <v>0</v>
      </c>
      <c r="D363" s="28">
        <f>COUNTIF('Mediation Dataset (Sudans)'!$M$2:$M$1222,"Arab Fund for Social Development")</f>
        <v>0</v>
      </c>
      <c r="E363" s="28">
        <f>COUNTIF('Mediation Dataset (Sudans)'!$N$2:$N$1222,"Arab Fund for Social Development")</f>
        <v>0</v>
      </c>
      <c r="F363" s="28">
        <f t="shared" si="2"/>
        <v>0</v>
      </c>
      <c r="G363" s="28">
        <f>(F363/F387)*100</f>
        <v>0</v>
      </c>
    </row>
    <row r="364" spans="2:7">
      <c r="B364" s="29" t="s">
        <v>679</v>
      </c>
      <c r="C364" s="28">
        <f>COUNTIF('Mediation Dataset (Sudans)'!$L$2:$L$1222, "IMF")</f>
        <v>0</v>
      </c>
      <c r="D364" s="28">
        <f>COUNTIF('Mediation Dataset (Sudans)'!$M$2:$M$1222, "IMF")</f>
        <v>0</v>
      </c>
      <c r="E364" s="28">
        <f>COUNTIF('Mediation Dataset (Sudans)'!$N$2:$N$1222, "IMF")</f>
        <v>0</v>
      </c>
      <c r="F364" s="28">
        <f t="shared" si="2"/>
        <v>0</v>
      </c>
      <c r="G364" s="28">
        <f>(F364/F387)*100</f>
        <v>0</v>
      </c>
    </row>
    <row r="365" spans="2:7">
      <c r="B365" s="29" t="s">
        <v>680</v>
      </c>
      <c r="C365" s="28">
        <f>COUNTIF('Mediation Dataset (Sudans)'!$L$2:$L$1222,"Islamic Development Bank")</f>
        <v>0</v>
      </c>
      <c r="D365" s="28">
        <f>COUNTIF('Mediation Dataset (Sudans)'!$M$2:$M$1222,"Islamic Development Bank")</f>
        <v>0</v>
      </c>
      <c r="E365" s="28">
        <f>COUNTIF('Mediation Dataset (Sudans)'!$N$2:$N$1222,"Islamic Development Bank")</f>
        <v>0</v>
      </c>
      <c r="F365" s="28">
        <f t="shared" si="2"/>
        <v>0</v>
      </c>
      <c r="G365" s="28">
        <f>(F365/F387)*100</f>
        <v>0</v>
      </c>
    </row>
    <row r="366" spans="2:7">
      <c r="B366" s="29" t="s">
        <v>739</v>
      </c>
      <c r="C366" s="28">
        <f>COUNTIF('Mediation Dataset (Sudans)'!$L$2:$L$1222,"The Native Administration")</f>
        <v>0</v>
      </c>
      <c r="D366" s="28">
        <f>COUNTIF('Mediation Dataset (Sudans)'!$M$2:$M$1222,"The Native Administration")</f>
        <v>0</v>
      </c>
      <c r="E366" s="28">
        <f>COUNTIF('Mediation Dataset (Sudans)'!$N$2:$N$1222,"The Native Administration")</f>
        <v>0</v>
      </c>
      <c r="F366" s="28">
        <f t="shared" si="2"/>
        <v>0</v>
      </c>
      <c r="G366" s="28">
        <f>(F366/F387)*100</f>
        <v>0</v>
      </c>
    </row>
    <row r="367" spans="2:7">
      <c r="B367" s="29" t="s">
        <v>740</v>
      </c>
      <c r="C367" s="28">
        <f>COUNTIF('Mediation Dataset (Sudans)'!$L$2:$L$1222, "The Peaceful Co-Existence Committee")</f>
        <v>0</v>
      </c>
      <c r="D367" s="28">
        <f>COUNTIF('Mediation Dataset (Sudans)'!$M$2:$M$1222, "The Peaceful Co-Existence Committee")</f>
        <v>0</v>
      </c>
      <c r="E367" s="28">
        <f>COUNTIF('Mediation Dataset (Sudans)'!$N$2:$N$1222, "The Peaceful Co-Existence Committee")</f>
        <v>0</v>
      </c>
      <c r="F367" s="28">
        <f t="shared" si="2"/>
        <v>0</v>
      </c>
      <c r="G367" s="28">
        <f>(F367/F387)*100</f>
        <v>0</v>
      </c>
    </row>
    <row r="368" spans="2:7">
      <c r="B368" s="29" t="s">
        <v>910</v>
      </c>
      <c r="C368" s="28">
        <f>COUNTIF('Mediation Dataset (Sudans)'!$L$2:$L$1222,"Burundi")</f>
        <v>0</v>
      </c>
      <c r="D368" s="28">
        <f>COUNTIF('Mediation Dataset (Sudans)'!$M$2:$M$1222,"Burundi")</f>
        <v>0</v>
      </c>
      <c r="E368" s="28">
        <f>COUNTIF('Mediation Dataset (Sudans)'!$N$2:$N$1222,"Burundi")</f>
        <v>0</v>
      </c>
      <c r="F368" s="28">
        <f t="shared" si="2"/>
        <v>0</v>
      </c>
      <c r="G368" s="28">
        <f>(F368/F387)*100</f>
        <v>0</v>
      </c>
    </row>
    <row r="369" spans="2:7">
      <c r="B369" s="29" t="s">
        <v>902</v>
      </c>
      <c r="C369" s="28">
        <f>COUNTIF('Mediation Dataset (Sudans)'!$L$2:$L$1222, "Equatorial Guinea")</f>
        <v>0</v>
      </c>
      <c r="D369" s="28">
        <f>COUNTIF('Mediation Dataset (Sudans)'!$M$2:$M$1222, "Equatorial Guinea")</f>
        <v>0</v>
      </c>
      <c r="E369" s="28">
        <f>COUNTIF('Mediation Dataset (Sudans)'!$N$2:$N$1222, "Equatorial Guinea")</f>
        <v>0</v>
      </c>
      <c r="F369" s="28">
        <f t="shared" si="2"/>
        <v>0</v>
      </c>
      <c r="G369" s="28">
        <f>(F369/F387)*100</f>
        <v>0</v>
      </c>
    </row>
    <row r="370" spans="2:7">
      <c r="B370" s="29" t="s">
        <v>903</v>
      </c>
      <c r="C370" s="28">
        <f>COUNTIF('Mediation Dataset (Sudans)'!$L$2:$L$1222, "Lesotho")</f>
        <v>0</v>
      </c>
      <c r="D370" s="28">
        <f>COUNTIF('Mediation Dataset (Sudans)'!$M$2:$M$1222, "Lesotho")</f>
        <v>0</v>
      </c>
      <c r="E370" s="28">
        <f>COUNTIF('Mediation Dataset (Sudans)'!$N$2:$N$1222, "Lesotho")</f>
        <v>0</v>
      </c>
      <c r="F370" s="28">
        <f t="shared" si="2"/>
        <v>0</v>
      </c>
      <c r="G370" s="28">
        <f>(F370/F387)*100</f>
        <v>0</v>
      </c>
    </row>
    <row r="371" spans="2:7">
      <c r="B371" s="29" t="s">
        <v>904</v>
      </c>
      <c r="C371" s="28">
        <f>COUNTIF('Mediation Dataset (Sudans)'!$L$2:$L$1222, "Morocco")</f>
        <v>0</v>
      </c>
      <c r="D371" s="28">
        <f>COUNTIF('Mediation Dataset (Sudans)'!$M$2:$M$1222, "Morocco")</f>
        <v>0</v>
      </c>
      <c r="E371" s="28">
        <f>COUNTIF('Mediation Dataset (Sudans)'!$N$2:$N$1222, "Morocco")</f>
        <v>0</v>
      </c>
      <c r="F371" s="28">
        <f t="shared" si="2"/>
        <v>0</v>
      </c>
      <c r="G371" s="28">
        <f>(F371/F387)*100</f>
        <v>0</v>
      </c>
    </row>
    <row r="372" spans="2:7">
      <c r="B372" s="29" t="s">
        <v>905</v>
      </c>
      <c r="C372" s="28">
        <f>COUNTIF('Mediation Dataset (Sudans)'!$L$2:$L$1222, "Togo")</f>
        <v>0</v>
      </c>
      <c r="D372" s="28">
        <f>COUNTIF('Mediation Dataset (Sudans)'!$M$2:$M$1222, "Togo")</f>
        <v>0</v>
      </c>
      <c r="E372" s="28">
        <f>COUNTIF('Mediation Dataset (Sudans)'!$N$2:$N$1222, "Togo")</f>
        <v>0</v>
      </c>
      <c r="F372" s="28">
        <f t="shared" si="2"/>
        <v>0</v>
      </c>
      <c r="G372" s="28">
        <f>(F372/F387)*100</f>
        <v>0</v>
      </c>
    </row>
    <row r="373" spans="2:7">
      <c r="B373" s="29" t="s">
        <v>906</v>
      </c>
      <c r="C373" s="28">
        <f>COUNTIF('Mediation Dataset (Sudans)'!$L$2:$L$1222, "Gabon")</f>
        <v>0</v>
      </c>
      <c r="D373" s="28">
        <f>COUNTIF('Mediation Dataset (Sudans)'!$M$2:$M$1222, "Gabon")</f>
        <v>0</v>
      </c>
      <c r="E373" s="28">
        <f>COUNTIF('Mediation Dataset (Sudans)'!$N$2:$N$1222, "Gabon")</f>
        <v>0</v>
      </c>
      <c r="F373" s="28">
        <f t="shared" si="2"/>
        <v>0</v>
      </c>
      <c r="G373" s="28">
        <f>(F373/F387)*100</f>
        <v>0</v>
      </c>
    </row>
    <row r="374" spans="2:7">
      <c r="B374" s="29" t="s">
        <v>907</v>
      </c>
      <c r="C374" s="28">
        <f>COUNTIF('Mediation Dataset (Sudans)'!$L$2:$L$1222, "Liberia")</f>
        <v>0</v>
      </c>
      <c r="D374" s="28">
        <f>COUNTIF('Mediation Dataset (Sudans)'!$M$2:$M$1222, "Liberia")</f>
        <v>0</v>
      </c>
      <c r="E374" s="28">
        <f>COUNTIF('Mediation Dataset (Sudans)'!$N$2:$N$1222, "Liberia")</f>
        <v>0</v>
      </c>
      <c r="F374" s="28">
        <f t="shared" si="2"/>
        <v>0</v>
      </c>
      <c r="G374" s="28">
        <f>(F374/F387)*100</f>
        <v>0</v>
      </c>
    </row>
    <row r="375" spans="2:7">
      <c r="B375" s="29" t="s">
        <v>908</v>
      </c>
      <c r="C375" s="28">
        <f>COUNTIF('Mediation Dataset (Sudans)'!$L$2:$L$1222, "Sierra Leone")</f>
        <v>0</v>
      </c>
      <c r="D375" s="28">
        <f>COUNTIF('Mediation Dataset (Sudans)'!$M$2:$M$1222, "Sierra Leone")</f>
        <v>0</v>
      </c>
      <c r="E375" s="28">
        <f>COUNTIF('Mediation Dataset (Sudans)'!$N$2:$N$1222, "Sierra Leone")</f>
        <v>0</v>
      </c>
      <c r="F375" s="28">
        <f t="shared" si="2"/>
        <v>0</v>
      </c>
      <c r="G375" s="28">
        <f>(F375/F387)*100</f>
        <v>0</v>
      </c>
    </row>
    <row r="376" spans="2:7">
      <c r="B376" s="29" t="s">
        <v>909</v>
      </c>
      <c r="C376" s="28">
        <f>COUNTIF('Mediation Dataset (Sudans)'!$L$2:$L$1222,"Zimbabwe")</f>
        <v>0</v>
      </c>
      <c r="D376" s="28">
        <f>COUNTIF('Mediation Dataset (Sudans)'!$M$2:$M$1222,"Zimbabwe")</f>
        <v>0</v>
      </c>
      <c r="E376" s="28">
        <f>COUNTIF('Mediation Dataset (Sudans)'!$N$2:$N$1222,"Zimbabwe")</f>
        <v>0</v>
      </c>
      <c r="F376" s="28">
        <f t="shared" si="2"/>
        <v>0</v>
      </c>
      <c r="G376" s="28">
        <f>(F376/F387)*100</f>
        <v>0</v>
      </c>
    </row>
    <row r="377" spans="2:7">
      <c r="B377" s="29" t="s">
        <v>927</v>
      </c>
      <c r="C377" s="28">
        <f>COUNTIF('Mediation Dataset (Sudans)'!$L$2:$L$1222,"Christian Relief")</f>
        <v>0</v>
      </c>
      <c r="D377" s="28">
        <f>COUNTIF('Mediation Dataset (Sudans)'!$M$2:$M$1222,"Christian Relief")</f>
        <v>0</v>
      </c>
      <c r="E377" s="28">
        <f>COUNTIF('Mediation Dataset (Sudans)'!$N$2:$N$1222,"Christian Relief")</f>
        <v>0</v>
      </c>
      <c r="F377" s="28">
        <f t="shared" si="2"/>
        <v>0</v>
      </c>
      <c r="G377" s="28">
        <f>(F377/F387)*100</f>
        <v>0</v>
      </c>
    </row>
    <row r="378" spans="2:7">
      <c r="B378" s="28" t="s">
        <v>941</v>
      </c>
      <c r="C378" s="28">
        <f>COUNTIF('Mediation Dataset (Sudans)'!$L$2:$L$1222, "Abyei businessmen")</f>
        <v>1</v>
      </c>
      <c r="D378" s="28">
        <f>COUNTIF('Mediation Dataset (Sudans)'!$M$2:$M$1222, "Abyei businessmen")</f>
        <v>0</v>
      </c>
      <c r="E378" s="28">
        <f>COUNTIF('Mediation Dataset (Sudans)'!$N$2:$N$1222, "Abyei businessmen")</f>
        <v>0</v>
      </c>
      <c r="F378" s="28">
        <f t="shared" ref="F378:F386" si="3">SUM(C378:E378)</f>
        <v>1</v>
      </c>
      <c r="G378" s="28">
        <f>(F378/F387)*100</f>
        <v>7.1073205401563616E-2</v>
      </c>
    </row>
    <row r="379" spans="2:7">
      <c r="B379" s="29" t="s">
        <v>1131</v>
      </c>
      <c r="C379" s="28">
        <f>COUNTIF('Mediation Dataset (Sudans)'!$L$2:$L$1222,"RJMEC")</f>
        <v>20</v>
      </c>
      <c r="D379" s="28">
        <f>COUNTIF('Mediation Dataset (Sudans)'!$M$2:$M$1222,"RJMEC")</f>
        <v>0</v>
      </c>
      <c r="E379" s="28">
        <f>COUNTIF('Mediation Dataset (Sudans)'!$N$2:$N$1222,"RJMEC")</f>
        <v>0</v>
      </c>
      <c r="F379" s="28">
        <f t="shared" si="3"/>
        <v>20</v>
      </c>
      <c r="G379" s="28">
        <f>(F379/F387)*100</f>
        <v>1.4214641080312722</v>
      </c>
    </row>
    <row r="380" spans="2:7">
      <c r="B380" s="29" t="s">
        <v>609</v>
      </c>
      <c r="C380" s="28">
        <f>COUNTIF('Mediation Dataset (Sudans)'!$L$2:$L$1222,"ICC")</f>
        <v>2</v>
      </c>
      <c r="D380" s="28">
        <f>COUNTIF('Mediation Dataset (Sudans)'!$M$2:$M$1222,"ICC")</f>
        <v>0</v>
      </c>
      <c r="E380" s="28">
        <f>COUNTIF('Mediation Dataset (Sudans)'!$N$2:$N$1222,"ICC")</f>
        <v>0</v>
      </c>
      <c r="F380" s="28">
        <f t="shared" si="3"/>
        <v>2</v>
      </c>
      <c r="G380" s="28">
        <f>(F380/F387)*100</f>
        <v>0.14214641080312723</v>
      </c>
    </row>
    <row r="381" spans="2:7">
      <c r="B381" s="29" t="s">
        <v>973</v>
      </c>
      <c r="C381" s="28">
        <f>COUNTIF('Mediation Dataset (Sudans)'!$L$2:$L$1222, "South Sudanese religious leaders")</f>
        <v>1</v>
      </c>
      <c r="D381" s="28">
        <f>COUNTIF('Mediation Dataset (Sudans)'!$M$2:$M$1222, "South Sudanese religious leaders")</f>
        <v>0</v>
      </c>
      <c r="E381" s="28">
        <f>COUNTIF('Mediation Dataset (Sudans)'!$N$2:$N$1222, "South Sudanese religious leaders")</f>
        <v>0</v>
      </c>
      <c r="F381" s="28">
        <f t="shared" si="3"/>
        <v>1</v>
      </c>
      <c r="G381" s="28">
        <f>(F381/F387)*100</f>
        <v>7.1073205401563616E-2</v>
      </c>
    </row>
    <row r="382" spans="2:7">
      <c r="B382" s="29" t="s">
        <v>1006</v>
      </c>
      <c r="C382" s="28">
        <f>COUNTIF('Mediation Dataset (Sudans)'!$L$2:$L$1222, "African Diplomatic Corps")</f>
        <v>0</v>
      </c>
      <c r="D382" s="28">
        <f>COUNTIF('Mediation Dataset (Sudans)'!$M$2:$M$1222, "African Diplomatic Corps")</f>
        <v>0</v>
      </c>
      <c r="E382" s="28">
        <f>COUNTIF('Mediation Dataset (Sudans)'!$N$2:$N$1222, "African Diplomatic Corps")</f>
        <v>0</v>
      </c>
      <c r="F382" s="28">
        <f t="shared" si="3"/>
        <v>0</v>
      </c>
      <c r="G382" s="28">
        <f>(F382/F387)*100</f>
        <v>0</v>
      </c>
    </row>
    <row r="383" spans="2:7">
      <c r="B383" s="29" t="s">
        <v>1025</v>
      </c>
      <c r="C383" s="28">
        <f>COUNTIF('Mediation Dataset (Sudans)'!$L$2:$L$1222, "Türkiye")</f>
        <v>1</v>
      </c>
      <c r="D383" s="28">
        <f>COUNTIF('Mediation Dataset (Sudans)'!$M$2:$M$1222, "Türkiye")</f>
        <v>0</v>
      </c>
      <c r="E383" s="28">
        <f>COUNTIF('Mediation Dataset (Sudans)'!$N$2:$N$1222, "Türkiye")</f>
        <v>0</v>
      </c>
      <c r="F383" s="28">
        <f t="shared" si="3"/>
        <v>1</v>
      </c>
      <c r="G383" s="28">
        <f>(F383/F387)*100</f>
        <v>7.1073205401563616E-2</v>
      </c>
    </row>
    <row r="384" spans="2:7">
      <c r="B384" s="29" t="s">
        <v>1054</v>
      </c>
      <c r="C384" s="28">
        <f>COUNTIF('Mediation Dataset (Sudans)'!$L$2:$L$1222,"CTSAMVM")</f>
        <v>4</v>
      </c>
      <c r="D384" s="28">
        <f>COUNTIF('Mediation Dataset (Sudans)'!$M$2:$M$1222,"CTSAMVM")</f>
        <v>0</v>
      </c>
      <c r="E384" s="28">
        <f>COUNTIF('Mediation Dataset (Sudans)'!$N$2:$N$1222,"CTSAMVM")</f>
        <v>0</v>
      </c>
      <c r="F384" s="28">
        <f t="shared" si="3"/>
        <v>4</v>
      </c>
      <c r="G384" s="28">
        <f>(F384/F387)*100</f>
        <v>0.28429282160625446</v>
      </c>
    </row>
    <row r="385" spans="2:7">
      <c r="B385" s="29" t="s">
        <v>846</v>
      </c>
      <c r="C385" s="28">
        <f>COUNTIF('Mediation Dataset (Sudans)'!$L$2:$L$1222, "National Democratic Institute")</f>
        <v>0</v>
      </c>
      <c r="D385" s="28">
        <f>COUNTIF('Mediation Dataset (Sudans)'!$M$2:$M$1222, "National Democratic Institute")</f>
        <v>0</v>
      </c>
      <c r="E385" s="28">
        <f>COUNTIF('Mediation Dataset (Sudans)'!$N$2:$N$1222, "National Democratic Institute")</f>
        <v>0</v>
      </c>
      <c r="F385" s="28">
        <f t="shared" si="3"/>
        <v>0</v>
      </c>
      <c r="G385" s="28">
        <f>(F385/F387)*100</f>
        <v>0</v>
      </c>
    </row>
    <row r="386" spans="2:7">
      <c r="B386" s="29" t="s">
        <v>871</v>
      </c>
      <c r="C386" s="28">
        <f>COUNTIF('Mediation Dataset (Sudans)'!$L$2:$L$1222,"Troika")</f>
        <v>12</v>
      </c>
      <c r="D386" s="28">
        <f>COUNTIF('Mediation Dataset (Sudans)'!$M$2:$M$1222,"Troika")</f>
        <v>0</v>
      </c>
      <c r="E386" s="28">
        <f>COUNTIF('Mediation Dataset (Sudans)'!$N$2:$N$1222,"Troika")</f>
        <v>0</v>
      </c>
      <c r="F386" s="28">
        <f t="shared" si="3"/>
        <v>12</v>
      </c>
      <c r="G386" s="28">
        <f>(F386/F387)*100</f>
        <v>0.85287846481876328</v>
      </c>
    </row>
    <row r="387" spans="2:7">
      <c r="B387" s="30" t="s">
        <v>1191</v>
      </c>
      <c r="C387" s="28"/>
      <c r="D387" s="28"/>
      <c r="E387" s="28"/>
      <c r="F387" s="28">
        <f>SUM(F282:F386)</f>
        <v>1407</v>
      </c>
      <c r="G387" s="28"/>
    </row>
    <row r="388" spans="2:7">
      <c r="D388"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4"/>
  <sheetViews>
    <sheetView topLeftCell="A358" workbookViewId="0">
      <selection activeCell="K378" sqref="K378"/>
    </sheetView>
  </sheetViews>
  <sheetFormatPr defaultColWidth="10.6640625" defaultRowHeight="15.5"/>
  <sheetData>
    <row r="1" spans="1:37">
      <c r="A1" s="7"/>
      <c r="B1">
        <v>1988</v>
      </c>
      <c r="C1">
        <v>1989</v>
      </c>
      <c r="D1">
        <v>1990</v>
      </c>
      <c r="E1">
        <v>1991</v>
      </c>
      <c r="F1">
        <v>1992</v>
      </c>
      <c r="G1">
        <v>1993</v>
      </c>
      <c r="H1">
        <v>1994</v>
      </c>
      <c r="I1">
        <v>1995</v>
      </c>
      <c r="J1">
        <v>1996</v>
      </c>
      <c r="K1">
        <v>1997</v>
      </c>
      <c r="L1">
        <v>1998</v>
      </c>
      <c r="M1">
        <v>1999</v>
      </c>
      <c r="N1">
        <v>2000</v>
      </c>
      <c r="O1">
        <v>2001</v>
      </c>
      <c r="P1">
        <v>2002</v>
      </c>
      <c r="Q1">
        <v>2003</v>
      </c>
      <c r="R1">
        <v>2004</v>
      </c>
      <c r="S1">
        <v>2005</v>
      </c>
      <c r="T1">
        <v>2006</v>
      </c>
      <c r="U1">
        <v>2007</v>
      </c>
      <c r="V1">
        <v>2008</v>
      </c>
      <c r="W1">
        <v>2009</v>
      </c>
      <c r="X1">
        <v>2010</v>
      </c>
      <c r="Y1">
        <v>2011</v>
      </c>
      <c r="Z1">
        <v>2012</v>
      </c>
      <c r="AA1">
        <v>2013</v>
      </c>
      <c r="AB1">
        <v>2014</v>
      </c>
      <c r="AC1">
        <v>2015</v>
      </c>
      <c r="AD1">
        <v>2016</v>
      </c>
      <c r="AE1">
        <v>2017</v>
      </c>
      <c r="AF1">
        <v>2018</v>
      </c>
      <c r="AG1">
        <v>2019</v>
      </c>
      <c r="AH1">
        <v>2020</v>
      </c>
      <c r="AI1">
        <v>2021</v>
      </c>
      <c r="AJ1">
        <v>2022</v>
      </c>
      <c r="AK1">
        <v>2023</v>
      </c>
    </row>
    <row r="2" spans="1:37">
      <c r="A2" s="12" t="s">
        <v>62</v>
      </c>
      <c r="B2">
        <v>0</v>
      </c>
      <c r="C2">
        <v>0</v>
      </c>
      <c r="D2">
        <v>0</v>
      </c>
      <c r="E2">
        <v>0</v>
      </c>
      <c r="F2">
        <v>0</v>
      </c>
      <c r="G2">
        <v>0</v>
      </c>
      <c r="H2">
        <v>0</v>
      </c>
      <c r="I2">
        <v>0</v>
      </c>
      <c r="J2">
        <v>0</v>
      </c>
      <c r="K2">
        <v>0</v>
      </c>
      <c r="L2">
        <v>0</v>
      </c>
      <c r="M2">
        <v>0</v>
      </c>
      <c r="N2" cm="1">
        <f t="array" ref="N2">SUMPRODUCT((LEN('Mediation Dataset (Sudans)'!G75:G90)-LEN(SUBSTITUTE('Mediation Dataset (Sudans)'!G75:G90,A2,"")))/LEN(A2))</f>
        <v>0</v>
      </c>
      <c r="O2">
        <v>0</v>
      </c>
      <c r="P2" cm="1">
        <f t="array" ref="P2">SUMPRODUCT((LEN('Mediation Dataset (Sudans)'!G93:G140)-LEN(SUBSTITUTE('Mediation Dataset (Sudans)'!G93:G140,A2,"")))/LEN(A2))</f>
        <v>0</v>
      </c>
      <c r="Q2" cm="1">
        <f t="array" ref="Q2">SUMPRODUCT((LEN('Mediation Dataset (Sudans)'!G141:G256)-LEN(SUBSTITUTE('Mediation Dataset (Sudans)'!G141:G256,A2,"")))/LEN(A2))</f>
        <v>0</v>
      </c>
      <c r="R2" cm="1">
        <f t="array" ref="R2">SUMPRODUCT((LEN('Mediation Dataset (Sudans)'!G257:G333)-LEN(SUBSTITUTE('Mediation Dataset (Sudans)'!G257:G333,A2,"")))/LEN(A2))</f>
        <v>1</v>
      </c>
      <c r="S2" cm="1">
        <f t="array" ref="S2">SUMPRODUCT((LEN('Mediation Dataset (Sudans)'!G334:G354)-LEN(SUBSTITUTE('Mediation Dataset (Sudans)'!G334:G354,A2,"")))/LEN(A2))</f>
        <v>0</v>
      </c>
      <c r="T2">
        <v>0</v>
      </c>
      <c r="U2">
        <v>0</v>
      </c>
      <c r="V2">
        <v>0</v>
      </c>
      <c r="W2">
        <v>0</v>
      </c>
      <c r="X2">
        <v>0</v>
      </c>
      <c r="Y2">
        <v>0</v>
      </c>
      <c r="Z2">
        <v>0</v>
      </c>
      <c r="AA2" cm="1">
        <f t="array" ref="AA2">SUMPRODUCT((LEN('Mediation Dataset (Sudans)'!G415:G452)-LEN(SUBSTITUTE('Mediation Dataset (Sudans)'!G415:G452,A2,"")))/LEN(A2))</f>
        <v>0</v>
      </c>
      <c r="AB2" cm="1">
        <f t="array" ref="AB2">SUMPRODUCT((LEN('Mediation Dataset (Sudans)'!G453:G469)-LEN(SUBSTITUTE('Mediation Dataset (Sudans)'!G453:G469,A2,"")))/LEN(A2))</f>
        <v>0</v>
      </c>
      <c r="AC2" cm="1">
        <f t="array" ref="AC2">SUMPRODUCT((LEN('Mediation Dataset (Sudans)'!G470:G554)-LEN(SUBSTITUTE('Mediation Dataset (Sudans)'!G470:G554,A2,"")))/LEN(A2))</f>
        <v>1</v>
      </c>
      <c r="AD2" cm="1">
        <f t="array" ref="AD2">SUMPRODUCT((LEN('Mediation Dataset (Sudans)'!G555:G568)-LEN(SUBSTITUTE('Mediation Dataset (Sudans)'!G555:G568,A2,"")))/LEN(A2))</f>
        <v>0</v>
      </c>
      <c r="AE2" cm="1">
        <f t="array" ref="AE2">SUMPRODUCT((LEN('Mediation Dataset (Sudans)'!G570:G604)-LEN(SUBSTITUTE('Mediation Dataset (Sudans)'!G570:G604,A2,"")))/LEN(A2))</f>
        <v>0</v>
      </c>
      <c r="AF2" cm="1">
        <f t="array" ref="AF2">SUMPRODUCT((LEN('Mediation Dataset (Sudans)'!G605:G709)-LEN(SUBSTITUTE('Mediation Dataset (Sudans)'!G605:G709,A2,"")))/LEN(A2))</f>
        <v>0</v>
      </c>
      <c r="AG2" cm="1">
        <f t="array" ref="AG2">SUMPRODUCT((LEN('Mediation Dataset (Sudans)'!G710:G742)-LEN(SUBSTITUTE('Mediation Dataset (Sudans)'!G710:G742,A2,"")))/LEN(A2))</f>
        <v>0</v>
      </c>
      <c r="AH2" cm="1">
        <f t="array" ref="AH2">SUMPRODUCT((LEN('Mediation Dataset (Sudans)'!G743:G998)-LEN(SUBSTITUTE('Mediation Dataset (Sudans)'!G743:G998,A2,"")))/LEN(A2))</f>
        <v>2</v>
      </c>
      <c r="AI2" cm="1">
        <f t="array" ref="AI2">SUMPRODUCT((LEN('Mediation Dataset (Sudans)'!G999:G1121)-LEN(SUBSTITUTE('Mediation Dataset (Sudans)'!G999:G1121,A2,"")))/LEN(A2))</f>
        <v>1</v>
      </c>
      <c r="AJ2" cm="1">
        <f t="array" ref="AJ2">SUMPRODUCT((LEN('Mediation Dataset (Sudans)'!G1122:G1218)-LEN(SUBSTITUTE('Mediation Dataset (Sudans)'!G1122:G1218,A2,"")))/LEN(A2))</f>
        <v>0</v>
      </c>
      <c r="AK2">
        <v>0</v>
      </c>
    </row>
    <row r="3" spans="1:37">
      <c r="A3" s="12" t="s">
        <v>249</v>
      </c>
      <c r="B3">
        <v>0</v>
      </c>
      <c r="C3">
        <v>0</v>
      </c>
      <c r="D3">
        <v>0</v>
      </c>
      <c r="E3">
        <v>0</v>
      </c>
      <c r="F3">
        <v>0</v>
      </c>
      <c r="G3">
        <v>0</v>
      </c>
      <c r="H3">
        <v>0</v>
      </c>
      <c r="I3">
        <v>0</v>
      </c>
      <c r="J3">
        <v>0</v>
      </c>
      <c r="K3">
        <v>0</v>
      </c>
      <c r="L3">
        <v>0</v>
      </c>
      <c r="M3">
        <v>0</v>
      </c>
      <c r="N3">
        <v>0</v>
      </c>
      <c r="O3">
        <v>0</v>
      </c>
      <c r="P3" cm="1">
        <f t="array" ref="P3">SUMPRODUCT((LEN('Mediation Dataset (Sudans)'!G93:G140)-LEN(SUBSTITUTE('Mediation Dataset (Sudans)'!G93:G140,A3,"")))/LEN(A3))</f>
        <v>0</v>
      </c>
      <c r="Q3" cm="1">
        <f t="array" ref="Q3">SUMPRODUCT((LEN('Mediation Dataset (Sudans)'!G141:G256)-LEN(SUBSTITUTE('Mediation Dataset (Sudans)'!G141:G256,A3,"")))/LEN(A3))</f>
        <v>0</v>
      </c>
      <c r="R3" cm="1">
        <f t="array" ref="R3">SUMPRODUCT((LEN('Mediation Dataset (Sudans)'!G257:G333)-LEN(SUBSTITUTE('Mediation Dataset (Sudans)'!G257:G333,A3,"")))/LEN(A3))</f>
        <v>0</v>
      </c>
      <c r="S3" cm="1">
        <f t="array" ref="S3">SUMPRODUCT((LEN('Mediation Dataset (Sudans)'!G334:G354)-LEN(SUBSTITUTE('Mediation Dataset (Sudans)'!G334:G354,A3,"")))/LEN(A3))</f>
        <v>0</v>
      </c>
      <c r="T3">
        <v>0</v>
      </c>
      <c r="U3">
        <v>0</v>
      </c>
      <c r="V3">
        <v>0</v>
      </c>
      <c r="W3">
        <v>0</v>
      </c>
      <c r="X3">
        <v>0</v>
      </c>
      <c r="Y3">
        <v>0</v>
      </c>
      <c r="Z3">
        <v>0</v>
      </c>
      <c r="AA3" cm="1">
        <f t="array" ref="AA3">SUMPRODUCT((LEN('Mediation Dataset (Sudans)'!G415:G452)-LEN(SUBSTITUTE('Mediation Dataset (Sudans)'!G415:G452,A3,"")))/LEN(A3))</f>
        <v>0</v>
      </c>
      <c r="AB3" cm="1">
        <f t="array" ref="AB3">SUMPRODUCT((LEN('Mediation Dataset (Sudans)'!G453:G469)-LEN(SUBSTITUTE('Mediation Dataset (Sudans)'!G453:G469,A3,"")))/LEN(A3))</f>
        <v>0</v>
      </c>
      <c r="AC3" cm="1">
        <f t="array" ref="AC3">SUMPRODUCT((LEN('Mediation Dataset (Sudans)'!G470:G554)-LEN(SUBSTITUTE('Mediation Dataset (Sudans)'!G470:G554,A3,"")))/LEN(A3))</f>
        <v>3</v>
      </c>
      <c r="AD3" cm="1">
        <f t="array" ref="AD3">SUMPRODUCT((LEN('Mediation Dataset (Sudans)'!G555:G568)-LEN(SUBSTITUTE('Mediation Dataset (Sudans)'!G555:G568,A3,"")))/LEN(A3))</f>
        <v>0</v>
      </c>
      <c r="AE3" cm="1">
        <f t="array" ref="AE3">SUMPRODUCT((LEN('Mediation Dataset (Sudans)'!G570:G604)-LEN(SUBSTITUTE('Mediation Dataset (Sudans)'!G570:G604,A3,"")))/LEN(A3))</f>
        <v>1</v>
      </c>
      <c r="AF3" cm="1">
        <f t="array" ref="AF3">SUMPRODUCT((LEN('Mediation Dataset (Sudans)'!G605:G709)-LEN(SUBSTITUTE('Mediation Dataset (Sudans)'!G605:G709,A3,"")))/LEN(A3))</f>
        <v>2</v>
      </c>
      <c r="AG3" cm="1">
        <f t="array" ref="AG3">SUMPRODUCT((LEN('Mediation Dataset (Sudans)'!G710:G742)-LEN(SUBSTITUTE('Mediation Dataset (Sudans)'!G710:G742,A3,"")))/LEN(A3))</f>
        <v>0</v>
      </c>
      <c r="AH3" cm="1">
        <f t="array" ref="AH3">SUMPRODUCT((LEN('Mediation Dataset (Sudans)'!G743:G998)-LEN(SUBSTITUTE('Mediation Dataset (Sudans)'!G743:G998,A3,"")))/LEN(A3))</f>
        <v>3</v>
      </c>
      <c r="AI3" cm="1">
        <f t="array" ref="AI3">SUMPRODUCT((LEN('Mediation Dataset (Sudans)'!G999:G1121)-LEN(SUBSTITUTE('Mediation Dataset (Sudans)'!G999:G1121,A3,"")))/LEN(A3))</f>
        <v>1</v>
      </c>
      <c r="AJ3" cm="1">
        <f t="array" ref="AJ3">SUMPRODUCT((LEN('Mediation Dataset (Sudans)'!G1122:G1218)-LEN(SUBSTITUTE('Mediation Dataset (Sudans)'!G1122:G1218,A3,"")))/LEN(A3))</f>
        <v>1</v>
      </c>
      <c r="AK3">
        <v>0</v>
      </c>
    </row>
    <row r="4" spans="1:37">
      <c r="A4" s="12" t="s">
        <v>157</v>
      </c>
      <c r="B4">
        <v>0</v>
      </c>
      <c r="C4">
        <v>0</v>
      </c>
      <c r="D4">
        <v>0</v>
      </c>
      <c r="E4">
        <v>0</v>
      </c>
      <c r="F4">
        <v>0</v>
      </c>
      <c r="G4">
        <v>0</v>
      </c>
      <c r="H4">
        <v>0</v>
      </c>
      <c r="I4">
        <v>0</v>
      </c>
      <c r="J4">
        <v>0</v>
      </c>
      <c r="K4">
        <v>0</v>
      </c>
      <c r="L4">
        <v>0</v>
      </c>
      <c r="M4">
        <v>0</v>
      </c>
      <c r="N4">
        <v>0</v>
      </c>
      <c r="O4">
        <v>0</v>
      </c>
      <c r="P4" cm="1">
        <f t="array" ref="P4">SUMPRODUCT((LEN('Mediation Dataset (Sudans)'!G93:G140)-LEN(SUBSTITUTE('Mediation Dataset (Sudans)'!G93:G140,A4,"")))/LEN(A4))</f>
        <v>0</v>
      </c>
      <c r="Q4" cm="1">
        <f t="array" ref="Q4">SUMPRODUCT((LEN('Mediation Dataset (Sudans)'!G141:G256)-LEN(SUBSTITUTE('Mediation Dataset (Sudans)'!G141:G256,A4,"")))/LEN(A4))</f>
        <v>0</v>
      </c>
      <c r="R4" cm="1">
        <f t="array" ref="R4">SUMPRODUCT((LEN('Mediation Dataset (Sudans)'!G257:G333)-LEN(SUBSTITUTE('Mediation Dataset (Sudans)'!G257:G333,A4,"")))/LEN(A4))</f>
        <v>0</v>
      </c>
      <c r="S4" cm="1">
        <f t="array" ref="S4">SUMPRODUCT((LEN('Mediation Dataset (Sudans)'!G334:G354)-LEN(SUBSTITUTE('Mediation Dataset (Sudans)'!G334:G354,A4,"")))/LEN(A4))</f>
        <v>0</v>
      </c>
      <c r="T4">
        <v>0</v>
      </c>
      <c r="U4">
        <v>0</v>
      </c>
      <c r="V4">
        <v>0</v>
      </c>
      <c r="W4">
        <v>4</v>
      </c>
      <c r="X4">
        <v>2</v>
      </c>
      <c r="Y4">
        <v>1</v>
      </c>
      <c r="Z4">
        <v>1</v>
      </c>
      <c r="AA4" cm="1">
        <f t="array" ref="AA4">SUMPRODUCT((LEN('Mediation Dataset (Sudans)'!G415:G452)-LEN(SUBSTITUTE('Mediation Dataset (Sudans)'!G415:G452,A4,"")))/LEN(A4))</f>
        <v>1</v>
      </c>
      <c r="AB4" cm="1">
        <f t="array" ref="AB4">SUMPRODUCT((LEN('Mediation Dataset (Sudans)'!G453:G469)-LEN(SUBSTITUTE('Mediation Dataset (Sudans)'!G453:G469,A4,"")))/LEN(A4))</f>
        <v>0</v>
      </c>
      <c r="AC4" cm="1">
        <f t="array" ref="AC4">SUMPRODUCT((LEN('Mediation Dataset (Sudans)'!G470:G554)-LEN(SUBSTITUTE('Mediation Dataset (Sudans)'!G470:G554,A4,"")))/LEN(A4))</f>
        <v>0</v>
      </c>
      <c r="AD4" cm="1">
        <f t="array" ref="AD4">SUMPRODUCT((LEN('Mediation Dataset (Sudans)'!G555:G568)-LEN(SUBSTITUTE('Mediation Dataset (Sudans)'!G555:G568,A4,"")))/LEN(A4))</f>
        <v>1</v>
      </c>
      <c r="AE4" cm="1">
        <f t="array" ref="AE4">SUMPRODUCT((LEN('Mediation Dataset (Sudans)'!G570:G604)-LEN(SUBSTITUTE('Mediation Dataset (Sudans)'!G570:G604,A4,"")))/LEN(A4))</f>
        <v>0</v>
      </c>
      <c r="AF4" cm="1">
        <f t="array" ref="AF4">SUMPRODUCT((LEN('Mediation Dataset (Sudans)'!G605:G709)-LEN(SUBSTITUTE('Mediation Dataset (Sudans)'!G605:G709,A4,"")))/LEN(A4))</f>
        <v>1</v>
      </c>
      <c r="AG4" cm="1">
        <f t="array" ref="AG4">SUMPRODUCT((LEN('Mediation Dataset (Sudans)'!G710:G742)-LEN(SUBSTITUTE('Mediation Dataset (Sudans)'!G710:G742,A4,"")))/LEN(A4))</f>
        <v>0</v>
      </c>
      <c r="AH4" cm="1">
        <f t="array" ref="AH4">SUMPRODUCT((LEN('Mediation Dataset (Sudans)'!G743:G998)-LEN(SUBSTITUTE('Mediation Dataset (Sudans)'!G743:G998,A4,"")))/LEN(A4))</f>
        <v>5</v>
      </c>
      <c r="AI4" cm="1">
        <f t="array" ref="AI4">SUMPRODUCT((LEN('Mediation Dataset (Sudans)'!G999:G1121)-LEN(SUBSTITUTE('Mediation Dataset (Sudans)'!G999:G1121,A4,"")))/LEN(A4))</f>
        <v>1</v>
      </c>
      <c r="AJ4" cm="1">
        <f t="array" ref="AJ4">SUMPRODUCT((LEN('Mediation Dataset (Sudans)'!G1122:G1218)-LEN(SUBSTITUTE('Mediation Dataset (Sudans)'!G1122:G1218,A4,"")))/LEN(A4))</f>
        <v>0</v>
      </c>
      <c r="AK4">
        <v>0</v>
      </c>
    </row>
    <row r="5" spans="1:37">
      <c r="A5" s="12" t="s">
        <v>35</v>
      </c>
      <c r="B5">
        <v>0</v>
      </c>
      <c r="C5">
        <v>0</v>
      </c>
      <c r="D5">
        <v>0</v>
      </c>
      <c r="E5">
        <v>0</v>
      </c>
      <c r="F5">
        <v>0</v>
      </c>
      <c r="G5">
        <v>2</v>
      </c>
      <c r="H5" cm="1">
        <f t="array" ref="H5">SUMPRODUCT((LEN('Mediation Dataset (Sudans)'!G13:G42)-LEN(SUBSTITUTE('Mediation Dataset (Sudans)'!G13:G42,A5,"")))/LEN(A5))</f>
        <v>6</v>
      </c>
      <c r="I5">
        <v>0</v>
      </c>
      <c r="J5">
        <v>0</v>
      </c>
      <c r="K5" cm="1">
        <f t="array" ref="K5">SUMPRODUCT((LEN('Mediation Dataset (Sudans)'!G48:G58)-LEN(SUBSTITUTE('Mediation Dataset (Sudans)'!G48:G58,A5,"")))/LEN(A5))</f>
        <v>2</v>
      </c>
      <c r="L5">
        <v>2</v>
      </c>
      <c r="M5">
        <v>1</v>
      </c>
      <c r="N5" cm="1">
        <f t="array" ref="N5">SUMPRODUCT((LEN('Mediation Dataset (Sudans)'!G75:G90)-LEN(SUBSTITUTE('Mediation Dataset (Sudans)'!G75:G90,A5,"")))/LEN(A5))</f>
        <v>2</v>
      </c>
      <c r="O5">
        <v>0</v>
      </c>
      <c r="P5" cm="1">
        <f t="array" ref="P5">SUMPRODUCT((LEN('Mediation Dataset (Sudans)'!G93:G140)-LEN(SUBSTITUTE('Mediation Dataset (Sudans)'!G93:G140,A5,"")))/LEN(A5))</f>
        <v>6</v>
      </c>
      <c r="Q5" cm="1">
        <f t="array" ref="Q5">SUMPRODUCT((LEN('Mediation Dataset (Sudans)'!G141:G256)-LEN(SUBSTITUTE('Mediation Dataset (Sudans)'!G141:G256,A5,"")))/LEN(A5))</f>
        <v>12</v>
      </c>
      <c r="R5" cm="1">
        <f t="array" ref="R5">SUMPRODUCT((LEN('Mediation Dataset (Sudans)'!G257:G333)-LEN(SUBSTITUTE('Mediation Dataset (Sudans)'!G257:G333,A5,"")))/LEN(A5))</f>
        <v>5</v>
      </c>
      <c r="S5" cm="1">
        <f t="array" ref="S5">SUMPRODUCT((LEN('Mediation Dataset (Sudans)'!G334:G354)-LEN(SUBSTITUTE('Mediation Dataset (Sudans)'!G334:G354,A5,"")))/LEN(A5))</f>
        <v>1</v>
      </c>
      <c r="T5">
        <v>0</v>
      </c>
      <c r="U5">
        <v>0</v>
      </c>
      <c r="V5">
        <v>0</v>
      </c>
      <c r="W5">
        <v>0</v>
      </c>
      <c r="X5">
        <v>0</v>
      </c>
      <c r="Y5">
        <v>0</v>
      </c>
      <c r="Z5">
        <v>1</v>
      </c>
      <c r="AA5" cm="1">
        <f t="array" ref="AA5">SUMPRODUCT((LEN('Mediation Dataset (Sudans)'!G415:G452)-LEN(SUBSTITUTE('Mediation Dataset (Sudans)'!G415:G452,A5,"")))/LEN(A5))</f>
        <v>2</v>
      </c>
      <c r="AB5" cm="1">
        <f t="array" ref="AB5">SUMPRODUCT((LEN('Mediation Dataset (Sudans)'!G453:G469)-LEN(SUBSTITUTE('Mediation Dataset (Sudans)'!G453:G469,A5,"")))/LEN(A5))</f>
        <v>1</v>
      </c>
      <c r="AC5" cm="1">
        <f t="array" ref="AC5">SUMPRODUCT((LEN('Mediation Dataset (Sudans)'!G470:G554)-LEN(SUBSTITUTE('Mediation Dataset (Sudans)'!G470:G554,A5,"")))/LEN(A5))</f>
        <v>9</v>
      </c>
      <c r="AD5" cm="1">
        <f t="array" ref="AD5">SUMPRODUCT((LEN('Mediation Dataset (Sudans)'!G555:G568)-LEN(SUBSTITUTE('Mediation Dataset (Sudans)'!G555:G568,A5,"")))/LEN(A5))</f>
        <v>0</v>
      </c>
      <c r="AE5" cm="1">
        <f t="array" ref="AE5">SUMPRODUCT((LEN('Mediation Dataset (Sudans)'!G570:G604)-LEN(SUBSTITUTE('Mediation Dataset (Sudans)'!G570:G604,A5,"")))/LEN(A5))</f>
        <v>2</v>
      </c>
      <c r="AF5" cm="1">
        <f t="array" ref="AF5">SUMPRODUCT((LEN('Mediation Dataset (Sudans)'!G605:G709)-LEN(SUBSTITUTE('Mediation Dataset (Sudans)'!G605:G709,A5,"")))/LEN(A5))</f>
        <v>9</v>
      </c>
      <c r="AG5" cm="1">
        <f t="array" ref="AG5">SUMPRODUCT((LEN('Mediation Dataset (Sudans)'!G710:G742)-LEN(SUBSTITUTE('Mediation Dataset (Sudans)'!G710:G742,A5,"")))/LEN(A5))</f>
        <v>2</v>
      </c>
      <c r="AH5" cm="1">
        <f t="array" ref="AH5">SUMPRODUCT((LEN('Mediation Dataset (Sudans)'!G743:G998)-LEN(SUBSTITUTE('Mediation Dataset (Sudans)'!G743:G998,A5,"")))/LEN(A5))</f>
        <v>10</v>
      </c>
      <c r="AI5" cm="1">
        <f t="array" ref="AI5">SUMPRODUCT((LEN('Mediation Dataset (Sudans)'!G999:G1121)-LEN(SUBSTITUTE('Mediation Dataset (Sudans)'!G999:G1121,A5,"")))/LEN(A5))</f>
        <v>13</v>
      </c>
      <c r="AJ5" cm="1">
        <f t="array" ref="AJ5">SUMPRODUCT((LEN('Mediation Dataset (Sudans)'!G1122:G1218)-LEN(SUBSTITUTE('Mediation Dataset (Sudans)'!G1122:G1218,A5,"")))/LEN(A5))</f>
        <v>11</v>
      </c>
      <c r="AK5">
        <v>1</v>
      </c>
    </row>
    <row r="6" spans="1:37">
      <c r="A6" s="12" t="s">
        <v>26</v>
      </c>
      <c r="B6">
        <v>0</v>
      </c>
      <c r="C6">
        <v>0</v>
      </c>
      <c r="D6">
        <v>0</v>
      </c>
      <c r="E6">
        <v>1</v>
      </c>
      <c r="F6">
        <v>1</v>
      </c>
      <c r="G6">
        <v>0</v>
      </c>
      <c r="H6">
        <v>0</v>
      </c>
      <c r="I6">
        <v>0</v>
      </c>
      <c r="J6">
        <v>0</v>
      </c>
      <c r="K6">
        <v>0</v>
      </c>
      <c r="L6">
        <v>0</v>
      </c>
      <c r="M6">
        <v>0</v>
      </c>
      <c r="N6" cm="1">
        <f t="array" ref="N6">SUMPRODUCT((LEN('Mediation Dataset (Sudans)'!G75:G90)-LEN(SUBSTITUTE('Mediation Dataset (Sudans)'!G75:G90,A6,"")))/LEN(A6))</f>
        <v>0</v>
      </c>
      <c r="O6">
        <v>0</v>
      </c>
      <c r="P6" cm="1">
        <f t="array" ref="P6">SUMPRODUCT((LEN('Mediation Dataset (Sudans)'!G93:G140)-LEN(SUBSTITUTE('Mediation Dataset (Sudans)'!G93:G140,A6,"")))/LEN(A6))</f>
        <v>0</v>
      </c>
      <c r="Q6" cm="1">
        <f t="array" ref="Q6">SUMPRODUCT((LEN('Mediation Dataset (Sudans)'!G141:G256)-LEN(SUBSTITUTE('Mediation Dataset (Sudans)'!G141:G256,A6,"")))/LEN(A6))</f>
        <v>0</v>
      </c>
      <c r="R6" cm="1">
        <f t="array" ref="R6">SUMPRODUCT((LEN('Mediation Dataset (Sudans)'!G257:G333)-LEN(SUBSTITUTE('Mediation Dataset (Sudans)'!G257:G333,A6,"")))/LEN(A6))</f>
        <v>8</v>
      </c>
      <c r="S6" cm="1">
        <f t="array" ref="S6">SUMPRODUCT((LEN('Mediation Dataset (Sudans)'!G334:G354)-LEN(SUBSTITUTE('Mediation Dataset (Sudans)'!G334:G354,A6,"")))/LEN(A6))</f>
        <v>5</v>
      </c>
      <c r="T6">
        <v>1</v>
      </c>
      <c r="U6">
        <v>0</v>
      </c>
      <c r="V6">
        <v>0</v>
      </c>
      <c r="W6">
        <v>1</v>
      </c>
      <c r="X6">
        <v>3</v>
      </c>
      <c r="Y6">
        <v>11</v>
      </c>
      <c r="Z6" cm="1">
        <f t="array" ref="Z6">SUMPRODUCT((LEN('Mediation Dataset (Sudans)'!G394:G414)-LEN(SUBSTITUTE('Mediation Dataset (Sudans)'!G394:G414,A6,"")))/LEN(A6))</f>
        <v>13</v>
      </c>
      <c r="AA6" cm="1">
        <f t="array" ref="AA6">SUMPRODUCT((LEN('Mediation Dataset (Sudans)'!G415:G452)-LEN(SUBSTITUTE('Mediation Dataset (Sudans)'!G415:G452,A6,"")))/LEN(A6))</f>
        <v>11</v>
      </c>
      <c r="AB6" cm="1">
        <f t="array" ref="AB6">SUMPRODUCT((LEN('Mediation Dataset (Sudans)'!G453:G469)-LEN(SUBSTITUTE('Mediation Dataset (Sudans)'!G453:G469,A6,"")))/LEN(A6))</f>
        <v>6</v>
      </c>
      <c r="AC6" cm="1">
        <f t="array" ref="AC6">SUMPRODUCT((LEN('Mediation Dataset (Sudans)'!G470:G554)-LEN(SUBSTITUTE('Mediation Dataset (Sudans)'!G470:G554,A6,"")))/LEN(A6))</f>
        <v>5</v>
      </c>
      <c r="AD6" cm="1">
        <f t="array" ref="AD6">SUMPRODUCT((LEN('Mediation Dataset (Sudans)'!G555:G568)-LEN(SUBSTITUTE('Mediation Dataset (Sudans)'!G555:G568,A6,"")))/LEN(A6))</f>
        <v>6</v>
      </c>
      <c r="AE6" cm="1">
        <f t="array" ref="AE6">SUMPRODUCT((LEN('Mediation Dataset (Sudans)'!G570:G604)-LEN(SUBSTITUTE('Mediation Dataset (Sudans)'!G570:G604,A6,"")))/LEN(A6))</f>
        <v>2</v>
      </c>
      <c r="AF6" cm="1">
        <f t="array" ref="AF6">SUMPRODUCT((LEN('Mediation Dataset (Sudans)'!G605:G709)-LEN(SUBSTITUTE('Mediation Dataset (Sudans)'!G605:G709,A6,"")))/LEN(A6))</f>
        <v>5</v>
      </c>
      <c r="AG6" cm="1">
        <f t="array" ref="AG6">SUMPRODUCT((LEN('Mediation Dataset (Sudans)'!G710:G742)-LEN(SUBSTITUTE('Mediation Dataset (Sudans)'!G710:G742,A6,"")))/LEN(A6))</f>
        <v>0</v>
      </c>
      <c r="AH6" cm="1">
        <f t="array" ref="AH6">SUMPRODUCT((LEN('Mediation Dataset (Sudans)'!G743:G998)-LEN(SUBSTITUTE('Mediation Dataset (Sudans)'!G743:G998,A6,"")))/LEN(A6))</f>
        <v>9</v>
      </c>
      <c r="AI6" cm="1">
        <f t="array" ref="AI6">SUMPRODUCT((LEN('Mediation Dataset (Sudans)'!G999:G1121)-LEN(SUBSTITUTE('Mediation Dataset (Sudans)'!G999:G1121,A6,"")))/LEN(A6))</f>
        <v>7</v>
      </c>
      <c r="AJ6" cm="1">
        <f t="array" ref="AJ6">SUMPRODUCT((LEN('Mediation Dataset (Sudans)'!G1122:G1218)-LEN(SUBSTITUTE('Mediation Dataset (Sudans)'!G1122:G1218,A6,"")))/LEN(A6))</f>
        <v>11</v>
      </c>
      <c r="AK6">
        <v>0</v>
      </c>
    </row>
    <row r="7" spans="1:37">
      <c r="A7" s="12" t="s">
        <v>22</v>
      </c>
      <c r="B7">
        <v>1</v>
      </c>
      <c r="C7">
        <v>0</v>
      </c>
      <c r="D7">
        <v>0</v>
      </c>
      <c r="E7">
        <v>0</v>
      </c>
      <c r="F7">
        <v>0</v>
      </c>
      <c r="G7">
        <v>0</v>
      </c>
      <c r="H7" cm="1">
        <f t="array" ref="H7">SUMPRODUCT((LEN('Mediation Dataset (Sudans)'!G13:G42)-LEN(SUBSTITUTE('Mediation Dataset (Sudans)'!G13:G42,A7,"")))/LEN(A7))</f>
        <v>6</v>
      </c>
      <c r="I7">
        <v>0</v>
      </c>
      <c r="J7">
        <v>0</v>
      </c>
      <c r="K7" cm="1">
        <f t="array" ref="K7">SUMPRODUCT((LEN('Mediation Dataset (Sudans)'!G48:G58)-LEN(SUBSTITUTE('Mediation Dataset (Sudans)'!G48:G58,A7,"")))/LEN(A7))</f>
        <v>2</v>
      </c>
      <c r="L7">
        <v>2</v>
      </c>
      <c r="M7">
        <v>1</v>
      </c>
      <c r="N7" cm="1">
        <f t="array" ref="N7">SUMPRODUCT((LEN('Mediation Dataset (Sudans)'!G75:G90)-LEN(SUBSTITUTE('Mediation Dataset (Sudans)'!G75:G90,A7,"")))/LEN(A7))</f>
        <v>2</v>
      </c>
      <c r="O7">
        <v>0</v>
      </c>
      <c r="P7" cm="1">
        <f t="array" ref="P7">SUMPRODUCT((LEN('Mediation Dataset (Sudans)'!G93:G140)-LEN(SUBSTITUTE('Mediation Dataset (Sudans)'!G93:G140,A7,"")))/LEN(A7))</f>
        <v>5</v>
      </c>
      <c r="Q7" cm="1">
        <f t="array" ref="Q7">SUMPRODUCT((LEN('Mediation Dataset (Sudans)'!G141:G256)-LEN(SUBSTITUTE('Mediation Dataset (Sudans)'!G141:G256,A7,"")))/LEN(A7))</f>
        <v>12</v>
      </c>
      <c r="R7" cm="1">
        <f t="array" ref="R7">SUMPRODUCT((LEN('Mediation Dataset (Sudans)'!G257:G333)-LEN(SUBSTITUTE('Mediation Dataset (Sudans)'!G257:G333,A7,"")))/LEN(A7))</f>
        <v>5</v>
      </c>
      <c r="S7" cm="1">
        <f t="array" ref="S7">SUMPRODUCT((LEN('Mediation Dataset (Sudans)'!G334:G354)-LEN(SUBSTITUTE('Mediation Dataset (Sudans)'!G334:G354,A7,"")))/LEN(A7))</f>
        <v>0</v>
      </c>
      <c r="T7">
        <v>0</v>
      </c>
      <c r="U7">
        <v>0</v>
      </c>
      <c r="V7">
        <v>0</v>
      </c>
      <c r="W7">
        <v>0</v>
      </c>
      <c r="X7">
        <v>0</v>
      </c>
      <c r="Y7">
        <v>1</v>
      </c>
      <c r="Z7">
        <v>2</v>
      </c>
      <c r="AA7" cm="1">
        <f t="array" ref="AA7">SUMPRODUCT((LEN('Mediation Dataset (Sudans)'!G415:G452)-LEN(SUBSTITUTE('Mediation Dataset (Sudans)'!G415:G452,A7,"")))/LEN(A7))</f>
        <v>2</v>
      </c>
      <c r="AB7" cm="1">
        <f t="array" ref="AB7">SUMPRODUCT((LEN('Mediation Dataset (Sudans)'!G453:G469)-LEN(SUBSTITUTE('Mediation Dataset (Sudans)'!G453:G469,A7,"")))/LEN(A7))</f>
        <v>1</v>
      </c>
      <c r="AC7" cm="1">
        <f t="array" ref="AC7">SUMPRODUCT((LEN('Mediation Dataset (Sudans)'!G470:G554)-LEN(SUBSTITUTE('Mediation Dataset (Sudans)'!G470:G554,A7,"")))/LEN(A7))</f>
        <v>9</v>
      </c>
      <c r="AD7" cm="1">
        <f t="array" ref="AD7">SUMPRODUCT((LEN('Mediation Dataset (Sudans)'!G555:G568)-LEN(SUBSTITUTE('Mediation Dataset (Sudans)'!G555:G568,A7,"")))/LEN(A7))</f>
        <v>3</v>
      </c>
      <c r="AE7" cm="1">
        <f t="array" ref="AE7">SUMPRODUCT((LEN('Mediation Dataset (Sudans)'!G570:G604)-LEN(SUBSTITUTE('Mediation Dataset (Sudans)'!G570:G604,A7,"")))/LEN(A7))</f>
        <v>2</v>
      </c>
      <c r="AF7" cm="1">
        <f t="array" ref="AF7">SUMPRODUCT((LEN('Mediation Dataset (Sudans)'!G605:G709)-LEN(SUBSTITUTE('Mediation Dataset (Sudans)'!G605:G709,A7,"")))/LEN(A7))</f>
        <v>11</v>
      </c>
      <c r="AG7" cm="1">
        <f t="array" ref="AG7">SUMPRODUCT((LEN('Mediation Dataset (Sudans)'!G710:G742)-LEN(SUBSTITUTE('Mediation Dataset (Sudans)'!G710:G742,A7,"")))/LEN(A7))</f>
        <v>2</v>
      </c>
      <c r="AH7" cm="1">
        <f t="array" ref="AH7">SUMPRODUCT((LEN('Mediation Dataset (Sudans)'!G743:G998)-LEN(SUBSTITUTE('Mediation Dataset (Sudans)'!G743:G998,A7,"")))/LEN(A7))</f>
        <v>5</v>
      </c>
      <c r="AI7" cm="1">
        <f t="array" ref="AI7">SUMPRODUCT((LEN('Mediation Dataset (Sudans)'!G999:G1121)-LEN(SUBSTITUTE('Mediation Dataset (Sudans)'!G999:G1121,A7,"")))/LEN(A7))</f>
        <v>2</v>
      </c>
      <c r="AJ7" cm="1">
        <f t="array" ref="AJ7">SUMPRODUCT((LEN('Mediation Dataset (Sudans)'!G1122:G1218)-LEN(SUBSTITUTE('Mediation Dataset (Sudans)'!G1122:G1218,A7,"")))/LEN(A7))</f>
        <v>1</v>
      </c>
      <c r="AK7">
        <v>0</v>
      </c>
    </row>
    <row r="8" spans="1:37">
      <c r="A8" s="12" t="s">
        <v>191</v>
      </c>
      <c r="B8">
        <v>0</v>
      </c>
      <c r="C8">
        <v>0</v>
      </c>
      <c r="D8">
        <v>0</v>
      </c>
      <c r="E8">
        <v>0</v>
      </c>
      <c r="F8">
        <v>0</v>
      </c>
      <c r="G8">
        <v>0</v>
      </c>
      <c r="H8" cm="1">
        <f t="array" ref="H8">SUMPRODUCT((LEN('Mediation Dataset (Sudans)'!G13:G42)-LEN(SUBSTITUTE('Mediation Dataset (Sudans)'!G13:G42,A8,"")))/LEN(A8))</f>
        <v>6</v>
      </c>
      <c r="I8">
        <v>1</v>
      </c>
      <c r="J8">
        <v>0</v>
      </c>
      <c r="K8" cm="1">
        <f t="array" ref="K8">SUMPRODUCT((LEN('Mediation Dataset (Sudans)'!G48:G58)-LEN(SUBSTITUTE('Mediation Dataset (Sudans)'!G48:G58,A8,"")))/LEN(A8))</f>
        <v>2</v>
      </c>
      <c r="L8">
        <v>2</v>
      </c>
      <c r="M8">
        <v>1</v>
      </c>
      <c r="N8" cm="1">
        <f t="array" ref="N8">SUMPRODUCT((LEN('Mediation Dataset (Sudans)'!G75:G90)-LEN(SUBSTITUTE('Mediation Dataset (Sudans)'!G75:G90,A8,"")))/LEN(A8))</f>
        <v>2</v>
      </c>
      <c r="O8">
        <v>0</v>
      </c>
      <c r="P8" cm="1">
        <f t="array" ref="P8">SUMPRODUCT((LEN('Mediation Dataset (Sudans)'!G93:G140)-LEN(SUBSTITUTE('Mediation Dataset (Sudans)'!G93:G140,A8,"")))/LEN(A8))</f>
        <v>5</v>
      </c>
      <c r="Q8" cm="1">
        <f t="array" ref="Q8">SUMPRODUCT((LEN('Mediation Dataset (Sudans)'!G141:G256)-LEN(SUBSTITUTE('Mediation Dataset (Sudans)'!G141:G256,A8,"")))/LEN(A8))</f>
        <v>12</v>
      </c>
      <c r="R8" cm="1">
        <f t="array" ref="R8">SUMPRODUCT((LEN('Mediation Dataset (Sudans)'!G257:G333)-LEN(SUBSTITUTE('Mediation Dataset (Sudans)'!G257:G333,A8,"")))/LEN(A8))</f>
        <v>5</v>
      </c>
      <c r="S8" cm="1">
        <f t="array" ref="S8">SUMPRODUCT((LEN('Mediation Dataset (Sudans)'!G334:G354)-LEN(SUBSTITUTE('Mediation Dataset (Sudans)'!G334:G354,A8,"")))/LEN(A8))</f>
        <v>0</v>
      </c>
      <c r="T8">
        <v>0</v>
      </c>
      <c r="U8">
        <v>0</v>
      </c>
      <c r="V8">
        <v>0</v>
      </c>
      <c r="W8">
        <v>0</v>
      </c>
      <c r="X8">
        <v>0</v>
      </c>
      <c r="Y8">
        <v>0</v>
      </c>
      <c r="Z8">
        <v>0</v>
      </c>
      <c r="AA8" cm="1">
        <f t="array" ref="AA8">SUMPRODUCT((LEN('Mediation Dataset (Sudans)'!G415:G452)-LEN(SUBSTITUTE('Mediation Dataset (Sudans)'!G415:G452,A8,"")))/LEN(A8))</f>
        <v>2</v>
      </c>
      <c r="AB8" cm="1">
        <f t="array" ref="AB8">SUMPRODUCT((LEN('Mediation Dataset (Sudans)'!G453:G469)-LEN(SUBSTITUTE('Mediation Dataset (Sudans)'!G453:G469,A8,"")))/LEN(A8))</f>
        <v>1</v>
      </c>
      <c r="AC8" cm="1">
        <f t="array" ref="AC8">SUMPRODUCT((LEN('Mediation Dataset (Sudans)'!G470:G554)-LEN(SUBSTITUTE('Mediation Dataset (Sudans)'!G470:G554,A8,"")))/LEN(A8))</f>
        <v>8</v>
      </c>
      <c r="AD8" cm="1">
        <f t="array" ref="AD8">SUMPRODUCT((LEN('Mediation Dataset (Sudans)'!G555:G568)-LEN(SUBSTITUTE('Mediation Dataset (Sudans)'!G555:G568,A8,"")))/LEN(A8))</f>
        <v>0</v>
      </c>
      <c r="AE8" cm="1">
        <f t="array" ref="AE8">SUMPRODUCT((LEN('Mediation Dataset (Sudans)'!G570:G604)-LEN(SUBSTITUTE('Mediation Dataset (Sudans)'!G570:G604,A8,"")))/LEN(A8))</f>
        <v>2</v>
      </c>
      <c r="AF8" cm="1">
        <f t="array" ref="AF8">SUMPRODUCT((LEN('Mediation Dataset (Sudans)'!G605:G709)-LEN(SUBSTITUTE('Mediation Dataset (Sudans)'!G605:G709,A8,"")))/LEN(A8))</f>
        <v>8</v>
      </c>
      <c r="AG8" cm="1">
        <f t="array" ref="AG8">SUMPRODUCT((LEN('Mediation Dataset (Sudans)'!G710:G742)-LEN(SUBSTITUTE('Mediation Dataset (Sudans)'!G710:G742,A8,"")))/LEN(A8))</f>
        <v>2</v>
      </c>
      <c r="AH8" cm="1">
        <f t="array" ref="AH8">SUMPRODUCT((LEN('Mediation Dataset (Sudans)'!G743:G998)-LEN(SUBSTITUTE('Mediation Dataset (Sudans)'!G743:G998,A8,"")))/LEN(A8))</f>
        <v>0</v>
      </c>
      <c r="AI8" cm="1">
        <f t="array" ref="AI8">SUMPRODUCT((LEN('Mediation Dataset (Sudans)'!G999:G1121)-LEN(SUBSTITUTE('Mediation Dataset (Sudans)'!G999:G1121,A8,"")))/LEN(A8))</f>
        <v>0</v>
      </c>
      <c r="AJ8" cm="1">
        <f t="array" ref="AJ8">SUMPRODUCT((LEN('Mediation Dataset (Sudans)'!G1122:G1218)-LEN(SUBSTITUTE('Mediation Dataset (Sudans)'!G1122:G1218,A8,"")))/LEN(A8))</f>
        <v>0</v>
      </c>
      <c r="AK8">
        <v>0</v>
      </c>
    </row>
    <row r="9" spans="1:37">
      <c r="A9" s="12" t="s">
        <v>156</v>
      </c>
      <c r="B9">
        <v>0</v>
      </c>
      <c r="C9">
        <v>0</v>
      </c>
      <c r="D9">
        <v>0</v>
      </c>
      <c r="E9">
        <v>0</v>
      </c>
      <c r="F9">
        <v>0</v>
      </c>
      <c r="G9">
        <v>0</v>
      </c>
      <c r="H9" cm="1">
        <f t="array" ref="H9">SUMPRODUCT((LEN('Mediation Dataset (Sudans)'!G13:G42)-LEN(SUBSTITUTE('Mediation Dataset (Sudans)'!G13:G42,A9,"")))/LEN(A9))</f>
        <v>0</v>
      </c>
      <c r="I9">
        <v>0</v>
      </c>
      <c r="J9">
        <v>0</v>
      </c>
      <c r="K9" cm="1">
        <f t="array" ref="K9">SUMPRODUCT((LEN('Mediation Dataset (Sudans)'!G50:G60)-LEN(SUBSTITUTE('Mediation Dataset (Sudans)'!G50:G60,A9,"")))/LEN(A9))</f>
        <v>0</v>
      </c>
      <c r="L9">
        <v>0</v>
      </c>
      <c r="M9">
        <v>0</v>
      </c>
      <c r="N9" cm="1">
        <f t="array" ref="N9">SUMPRODUCT((LEN('Mediation Dataset (Sudans)'!G75:G90)-LEN(SUBSTITUTE('Mediation Dataset (Sudans)'!G75:G90,A9,"")))/LEN(A9))</f>
        <v>0</v>
      </c>
      <c r="O9">
        <v>0</v>
      </c>
      <c r="P9" cm="1">
        <f t="array" ref="P9">SUMPRODUCT((LEN('Mediation Dataset (Sudans)'!G93:G140)-LEN(SUBSTITUTE('Mediation Dataset (Sudans)'!G93:G140,A9,"")))/LEN(A9))</f>
        <v>0</v>
      </c>
      <c r="Q9" cm="1">
        <f t="array" ref="Q9">SUMPRODUCT((LEN('Mediation Dataset (Sudans)'!G141:G256)-LEN(SUBSTITUTE('Mediation Dataset (Sudans)'!G141:G256,A9,"")))/LEN(A9))</f>
        <v>4</v>
      </c>
      <c r="R9" cm="1">
        <f t="array" ref="R9">SUMPRODUCT((LEN('Mediation Dataset (Sudans)'!G257:G333)-LEN(SUBSTITUTE('Mediation Dataset (Sudans)'!G257:G333,A9,"")))/LEN(A9))</f>
        <v>3</v>
      </c>
      <c r="S9" cm="1">
        <f t="array" ref="S9">SUMPRODUCT((LEN('Mediation Dataset (Sudans)'!G334:G354)-LEN(SUBSTITUTE('Mediation Dataset (Sudans)'!G334:G354,A9,"")))/LEN(A9))</f>
        <v>1</v>
      </c>
      <c r="T9">
        <v>0</v>
      </c>
      <c r="U9">
        <v>0</v>
      </c>
      <c r="V9">
        <v>0</v>
      </c>
      <c r="W9">
        <v>1</v>
      </c>
      <c r="X9">
        <v>2</v>
      </c>
      <c r="Y9">
        <v>0</v>
      </c>
      <c r="Z9">
        <v>0</v>
      </c>
      <c r="AA9" cm="1">
        <f t="array" ref="AA9">SUMPRODUCT((LEN('Mediation Dataset (Sudans)'!G415:G452)-LEN(SUBSTITUTE('Mediation Dataset (Sudans)'!G415:G452,A9,"")))/LEN(A9))</f>
        <v>0</v>
      </c>
      <c r="AB9" cm="1">
        <f t="array" ref="AB9">SUMPRODUCT((LEN('Mediation Dataset (Sudans)'!G453:G469)-LEN(SUBSTITUTE('Mediation Dataset (Sudans)'!G453:G469,A9,"")))/LEN(A9))</f>
        <v>2</v>
      </c>
      <c r="AC9" cm="1">
        <f t="array" ref="AC9">SUMPRODUCT((LEN('Mediation Dataset (Sudans)'!G470:G554)-LEN(SUBSTITUTE('Mediation Dataset (Sudans)'!G470:G554,A9,"")))/LEN(A9))</f>
        <v>1</v>
      </c>
      <c r="AD9" cm="1">
        <f t="array" ref="AD9">SUMPRODUCT((LEN('Mediation Dataset (Sudans)'!G555:G568)-LEN(SUBSTITUTE('Mediation Dataset (Sudans)'!G555:G568,A9,"")))/LEN(A9))</f>
        <v>1</v>
      </c>
      <c r="AE9" cm="1">
        <f t="array" ref="AE9">SUMPRODUCT((LEN('Mediation Dataset (Sudans)'!G570:G604)-LEN(SUBSTITUTE('Mediation Dataset (Sudans)'!G570:G604,A9,"")))/LEN(A9))</f>
        <v>1</v>
      </c>
      <c r="AF9" cm="1">
        <f t="array" ref="AF9">SUMPRODUCT((LEN('Mediation Dataset (Sudans)'!G605:G709)-LEN(SUBSTITUTE('Mediation Dataset (Sudans)'!G605:G709,A9,"")))/LEN(A9))</f>
        <v>1</v>
      </c>
      <c r="AG9" cm="1">
        <f t="array" ref="AG9">SUMPRODUCT((LEN('Mediation Dataset (Sudans)'!G710:G742)-LEN(SUBSTITUTE('Mediation Dataset (Sudans)'!G710:G742,A9,"")))/LEN(A9))</f>
        <v>0</v>
      </c>
      <c r="AH9" cm="1">
        <f t="array" ref="AH9">SUMPRODUCT((LEN('Mediation Dataset (Sudans)'!G743:G998)-LEN(SUBSTITUTE('Mediation Dataset (Sudans)'!G743:G998,A9,"")))/LEN(A9))</f>
        <v>0</v>
      </c>
      <c r="AI9" cm="1">
        <f t="array" ref="AI9">SUMPRODUCT((LEN('Mediation Dataset (Sudans)'!G999:G1121)-LEN(SUBSTITUTE('Mediation Dataset (Sudans)'!G999:G1121,A9,"")))/LEN(A9))</f>
        <v>0</v>
      </c>
      <c r="AJ9" cm="1">
        <f t="array" ref="AJ9">SUMPRODUCT((LEN('Mediation Dataset (Sudans)'!G1122:G1218)-LEN(SUBSTITUTE('Mediation Dataset (Sudans)'!G1122:G1218,A9,"")))/LEN(A9))</f>
        <v>0</v>
      </c>
      <c r="AK9">
        <v>0</v>
      </c>
    </row>
    <row r="10" spans="1:37">
      <c r="A10" s="12" t="s">
        <v>485</v>
      </c>
      <c r="B10">
        <v>0</v>
      </c>
      <c r="C10">
        <v>0</v>
      </c>
      <c r="D10">
        <v>0</v>
      </c>
      <c r="E10">
        <v>0</v>
      </c>
      <c r="F10">
        <v>0</v>
      </c>
      <c r="G10">
        <v>0</v>
      </c>
      <c r="H10" cm="1">
        <f t="array" ref="H10">SUMPRODUCT((LEN('Mediation Dataset (Sudans)'!G13:G42)-LEN(SUBSTITUTE('Mediation Dataset (Sudans)'!G13:G42,A10,"")))/LEN(A10))</f>
        <v>0</v>
      </c>
      <c r="I10">
        <v>0</v>
      </c>
      <c r="J10">
        <v>0</v>
      </c>
      <c r="K10" cm="1">
        <f t="array" ref="K10">SUMPRODUCT((LEN('Mediation Dataset (Sudans)'!G48:G58)-LEN(SUBSTITUTE('Mediation Dataset (Sudans)'!G48:G58,A10,"")))/LEN(A10))</f>
        <v>0</v>
      </c>
      <c r="L10">
        <v>0</v>
      </c>
      <c r="M10">
        <v>0</v>
      </c>
      <c r="N10" cm="1">
        <f t="array" ref="N10">SUMPRODUCT((LEN('Mediation Dataset (Sudans)'!G75:G90)-LEN(SUBSTITUTE('Mediation Dataset (Sudans)'!G75:G90,A10,"")))/LEN(A10))</f>
        <v>0</v>
      </c>
      <c r="O10">
        <v>0</v>
      </c>
      <c r="P10" cm="1">
        <f t="array" ref="P10">SUMPRODUCT((LEN('Mediation Dataset (Sudans)'!G93:G140)-LEN(SUBSTITUTE('Mediation Dataset (Sudans)'!G93:G140,A10,"")))/LEN(A10))</f>
        <v>0</v>
      </c>
      <c r="Q10" cm="1">
        <f t="array" ref="Q10">SUMPRODUCT((LEN('Mediation Dataset (Sudans)'!G141:G256)-LEN(SUBSTITUTE('Mediation Dataset (Sudans)'!G141:G256,A10,"")))/LEN(A10))</f>
        <v>0</v>
      </c>
      <c r="R10" cm="1">
        <f t="array" ref="R10">SUMPRODUCT((LEN('Mediation Dataset (Sudans)'!G257:G333)-LEN(SUBSTITUTE('Mediation Dataset (Sudans)'!G257:G333,A10,"")))/LEN(A10))</f>
        <v>0</v>
      </c>
      <c r="S10" cm="1">
        <f t="array" ref="S10">SUMPRODUCT((LEN('Mediation Dataset (Sudans)'!G334:G354)-LEN(SUBSTITUTE('Mediation Dataset (Sudans)'!G334:G354,A10,"")))/LEN(A10))</f>
        <v>0</v>
      </c>
      <c r="T10">
        <v>0</v>
      </c>
      <c r="U10">
        <v>0</v>
      </c>
      <c r="V10">
        <v>0</v>
      </c>
      <c r="W10">
        <v>0</v>
      </c>
      <c r="X10">
        <v>0</v>
      </c>
      <c r="Y10">
        <v>0</v>
      </c>
      <c r="Z10">
        <v>0</v>
      </c>
      <c r="AA10" cm="1">
        <f t="array" ref="AA10">SUMPRODUCT((LEN('Mediation Dataset (Sudans)'!G415:G452)-LEN(SUBSTITUTE('Mediation Dataset (Sudans)'!G415:G452,A10,"")))/LEN(A10))</f>
        <v>0</v>
      </c>
      <c r="AB10" cm="1">
        <f t="array" ref="AB10">SUMPRODUCT((LEN('Mediation Dataset (Sudans)'!G453:G469)-LEN(SUBSTITUTE('Mediation Dataset (Sudans)'!G453:G469,A10,"")))/LEN(A10))</f>
        <v>0</v>
      </c>
      <c r="AC10" cm="1">
        <f t="array" ref="AC10">SUMPRODUCT((LEN('Mediation Dataset (Sudans)'!G470:G554)-LEN(SUBSTITUTE('Mediation Dataset (Sudans)'!G470:G554,A10,"")))/LEN(A10))</f>
        <v>1</v>
      </c>
      <c r="AD10" cm="1">
        <f t="array" ref="AD10">SUMPRODUCT((LEN('Mediation Dataset (Sudans)'!G555:G568)-LEN(SUBSTITUTE('Mediation Dataset (Sudans)'!G555:G568,A10,"")))/LEN(A10))</f>
        <v>0</v>
      </c>
      <c r="AE10" cm="1">
        <f t="array" ref="AE10">SUMPRODUCT((LEN('Mediation Dataset (Sudans)'!G570:G604)-LEN(SUBSTITUTE('Mediation Dataset (Sudans)'!G570:G604,A10,"")))/LEN(A10))</f>
        <v>1</v>
      </c>
      <c r="AF10" cm="1">
        <f t="array" ref="AF10">SUMPRODUCT((LEN('Mediation Dataset (Sudans)'!G605:G709)-LEN(SUBSTITUTE('Mediation Dataset (Sudans)'!G605:G709,A10,"")))/LEN(A10))</f>
        <v>0</v>
      </c>
      <c r="AG10" cm="1">
        <f t="array" ref="AG10">SUMPRODUCT((LEN('Mediation Dataset (Sudans)'!G710:G742)-LEN(SUBSTITUTE('Mediation Dataset (Sudans)'!G710:G742,A10,"")))/LEN(A10))</f>
        <v>0</v>
      </c>
      <c r="AH10" cm="1">
        <f t="array" ref="AH10">SUMPRODUCT((LEN('Mediation Dataset (Sudans)'!G743:G998)-LEN(SUBSTITUTE('Mediation Dataset (Sudans)'!G743:G998,A10,"")))/LEN(A10))</f>
        <v>2</v>
      </c>
      <c r="AI10" cm="1">
        <f t="array" ref="AI10">SUMPRODUCT((LEN('Mediation Dataset (Sudans)'!G999:G1121)-LEN(SUBSTITUTE('Mediation Dataset (Sudans)'!G999:G1121,A10,"")))/LEN(A10))</f>
        <v>0</v>
      </c>
      <c r="AJ10" cm="1">
        <f t="array" ref="AJ10">SUMPRODUCT((LEN('Mediation Dataset (Sudans)'!G1122:G1218)-LEN(SUBSTITUTE('Mediation Dataset (Sudans)'!G1122:G1218,A10,"")))/LEN(A10))</f>
        <v>1</v>
      </c>
      <c r="AK10">
        <v>0</v>
      </c>
    </row>
    <row r="11" spans="1:37">
      <c r="A11" s="12" t="s">
        <v>152</v>
      </c>
      <c r="B11">
        <v>0</v>
      </c>
      <c r="C11">
        <v>0</v>
      </c>
      <c r="D11">
        <v>0</v>
      </c>
      <c r="E11">
        <v>0</v>
      </c>
      <c r="F11">
        <v>0</v>
      </c>
      <c r="G11">
        <v>0</v>
      </c>
      <c r="H11" cm="1">
        <f t="array" ref="H11">SUMPRODUCT((LEN('Mediation Dataset (Sudans)'!G13:G42)-LEN(SUBSTITUTE('Mediation Dataset (Sudans)'!G13:G42,A11,"")))/LEN(A11))</f>
        <v>6</v>
      </c>
      <c r="I11">
        <v>0</v>
      </c>
      <c r="J11">
        <v>0</v>
      </c>
      <c r="K11" cm="1">
        <f t="array" ref="K11">SUMPRODUCT((LEN('Mediation Dataset (Sudans)'!G48:G58)-LEN(SUBSTITUTE('Mediation Dataset (Sudans)'!G48:G58,A11,"")))/LEN(A11))</f>
        <v>2</v>
      </c>
      <c r="L11">
        <v>2</v>
      </c>
      <c r="M11">
        <v>1</v>
      </c>
      <c r="N11" cm="1">
        <f t="array" ref="N11">SUMPRODUCT((LEN('Mediation Dataset (Sudans)'!G75:G90)-LEN(SUBSTITUTE('Mediation Dataset (Sudans)'!G75:G90,A11,"")))/LEN(A11))</f>
        <v>2</v>
      </c>
      <c r="O11">
        <v>0</v>
      </c>
      <c r="P11" cm="1">
        <f t="array" ref="P11">SUMPRODUCT((LEN('Mediation Dataset (Sudans)'!G93:G140)-LEN(SUBSTITUTE('Mediation Dataset (Sudans)'!G93:G140,A11,"")))/LEN(A11))</f>
        <v>5</v>
      </c>
      <c r="Q11" cm="1">
        <f t="array" ref="Q11">SUMPRODUCT((LEN('Mediation Dataset (Sudans)'!G141:G256)-LEN(SUBSTITUTE('Mediation Dataset (Sudans)'!G141:G256,A11,"")))/LEN(A11))</f>
        <v>12</v>
      </c>
      <c r="R11" cm="1">
        <f t="array" ref="R11">SUMPRODUCT((LEN('Mediation Dataset (Sudans)'!G257:G333)-LEN(SUBSTITUTE('Mediation Dataset (Sudans)'!G257:G333,A11,"")))/LEN(A11))</f>
        <v>5</v>
      </c>
      <c r="S11" cm="1">
        <f t="array" ref="S11">SUMPRODUCT((LEN('Mediation Dataset (Sudans)'!G334:G354)-LEN(SUBSTITUTE('Mediation Dataset (Sudans)'!G334:G354,A11,"")))/LEN(A11))</f>
        <v>1</v>
      </c>
      <c r="T11">
        <v>0</v>
      </c>
      <c r="U11">
        <v>0</v>
      </c>
      <c r="V11">
        <v>0</v>
      </c>
      <c r="W11">
        <v>0</v>
      </c>
      <c r="X11">
        <v>0</v>
      </c>
      <c r="Y11">
        <v>0</v>
      </c>
      <c r="Z11">
        <v>0</v>
      </c>
      <c r="AA11" cm="1">
        <f t="array" ref="AA11">SUMPRODUCT((LEN('Mediation Dataset (Sudans)'!G415:G452)-LEN(SUBSTITUTE('Mediation Dataset (Sudans)'!G415:G452,A11,"")))/LEN(A11))</f>
        <v>2</v>
      </c>
      <c r="AB11" cm="1">
        <f t="array" ref="AB11">SUMPRODUCT((LEN('Mediation Dataset (Sudans)'!G453:G469)-LEN(SUBSTITUTE('Mediation Dataset (Sudans)'!G453:G469,A11,"")))/LEN(A11))</f>
        <v>1</v>
      </c>
      <c r="AC11" cm="1">
        <f t="array" ref="AC11">SUMPRODUCT((LEN('Mediation Dataset (Sudans)'!G470:G554)-LEN(SUBSTITUTE('Mediation Dataset (Sudans)'!G470:G554,A11,"")))/LEN(A11))</f>
        <v>9</v>
      </c>
      <c r="AD11" cm="1">
        <f t="array" ref="AD11">SUMPRODUCT((LEN('Mediation Dataset (Sudans)'!G555:G568)-LEN(SUBSTITUTE('Mediation Dataset (Sudans)'!G555:G568,A11,"")))/LEN(A11))</f>
        <v>0</v>
      </c>
      <c r="AE11" cm="1">
        <f t="array" ref="AE11">SUMPRODUCT((LEN('Mediation Dataset (Sudans)'!G570:G604)-LEN(SUBSTITUTE('Mediation Dataset (Sudans)'!G570:G604,A11,"")))/LEN(A11))</f>
        <v>2</v>
      </c>
      <c r="AF11" cm="1">
        <f t="array" ref="AF11">SUMPRODUCT((LEN('Mediation Dataset (Sudans)'!G605:G709)-LEN(SUBSTITUTE('Mediation Dataset (Sudans)'!G605:G709,A11,"")))/LEN(A11))</f>
        <v>8</v>
      </c>
      <c r="AG11" cm="1">
        <f t="array" ref="AG11">SUMPRODUCT((LEN('Mediation Dataset (Sudans)'!G710:G742)-LEN(SUBSTITUTE('Mediation Dataset (Sudans)'!G710:G742,A11,"")))/LEN(A11))</f>
        <v>3</v>
      </c>
      <c r="AH11" cm="1">
        <f t="array" ref="AH11">SUMPRODUCT((LEN('Mediation Dataset (Sudans)'!G743:G998)-LEN(SUBSTITUTE('Mediation Dataset (Sudans)'!G743:G998,A11,"")))/LEN(A11))</f>
        <v>4</v>
      </c>
      <c r="AI11" cm="1">
        <f t="array" ref="AI11">SUMPRODUCT((LEN('Mediation Dataset (Sudans)'!G999:G1121)-LEN(SUBSTITUTE('Mediation Dataset (Sudans)'!G999:G1121,A11,"")))/LEN(A11))</f>
        <v>2</v>
      </c>
      <c r="AJ11" cm="1">
        <f t="array" ref="AJ11">SUMPRODUCT((LEN('Mediation Dataset (Sudans)'!G1122:G1218)-LEN(SUBSTITUTE('Mediation Dataset (Sudans)'!G1122:G1218,A11,"")))/LEN(A11))</f>
        <v>2</v>
      </c>
      <c r="AK11">
        <v>0</v>
      </c>
    </row>
    <row r="12" spans="1:37">
      <c r="A12" s="12" t="s">
        <v>192</v>
      </c>
      <c r="B12">
        <v>0</v>
      </c>
      <c r="C12">
        <v>0</v>
      </c>
      <c r="D12">
        <v>0</v>
      </c>
      <c r="E12">
        <v>0</v>
      </c>
      <c r="F12">
        <v>0</v>
      </c>
      <c r="G12">
        <v>0</v>
      </c>
      <c r="H12" cm="1">
        <f t="array" ref="H12">SUMPRODUCT((LEN('Mediation Dataset (Sudans)'!G13:G42)-LEN(SUBSTITUTE('Mediation Dataset (Sudans)'!G13:G42,A12,"")))/LEN(A12))</f>
        <v>6</v>
      </c>
      <c r="I12">
        <v>0</v>
      </c>
      <c r="J12">
        <v>0</v>
      </c>
      <c r="K12" cm="1">
        <f t="array" ref="K12">SUMPRODUCT((LEN('Mediation Dataset (Sudans)'!G48:G58)-LEN(SUBSTITUTE('Mediation Dataset (Sudans)'!G48:G58,A12,"")))/LEN(A12))</f>
        <v>2</v>
      </c>
      <c r="L12">
        <v>2</v>
      </c>
      <c r="M12">
        <v>1</v>
      </c>
      <c r="N12" cm="1">
        <f t="array" ref="N12">SUMPRODUCT((LEN('Mediation Dataset (Sudans)'!G75:G90)-LEN(SUBSTITUTE('Mediation Dataset (Sudans)'!G75:G90,A12,"")))/LEN(A12))</f>
        <v>2</v>
      </c>
      <c r="O12">
        <v>0</v>
      </c>
      <c r="P12" cm="1">
        <f t="array" ref="P12">SUMPRODUCT((LEN('Mediation Dataset (Sudans)'!G93:G140)-LEN(SUBSTITUTE('Mediation Dataset (Sudans)'!G93:G140,A12,"")))/LEN(A12))</f>
        <v>5</v>
      </c>
      <c r="Q12" cm="1">
        <f t="array" ref="Q12">SUMPRODUCT((LEN('Mediation Dataset (Sudans)'!G141:G256)-LEN(SUBSTITUTE('Mediation Dataset (Sudans)'!G141:G256,A12,"")))/LEN(A12))</f>
        <v>12</v>
      </c>
      <c r="R12" cm="1">
        <f t="array" ref="R12">SUMPRODUCT((LEN('Mediation Dataset (Sudans)'!G257:G333)-LEN(SUBSTITUTE('Mediation Dataset (Sudans)'!G257:G333,A12,"")))/LEN(A12))</f>
        <v>5</v>
      </c>
      <c r="S12" cm="1">
        <f t="array" ref="S12">SUMPRODUCT((LEN('Mediation Dataset (Sudans)'!G334:G354)-LEN(SUBSTITUTE('Mediation Dataset (Sudans)'!G334:G354,A12,"")))/LEN(A12))</f>
        <v>0</v>
      </c>
      <c r="T12">
        <v>0</v>
      </c>
      <c r="U12">
        <v>0</v>
      </c>
      <c r="V12">
        <v>0</v>
      </c>
      <c r="W12">
        <v>0</v>
      </c>
      <c r="X12">
        <v>0</v>
      </c>
      <c r="Y12">
        <v>0</v>
      </c>
      <c r="Z12">
        <v>0</v>
      </c>
      <c r="AA12" cm="1">
        <f t="array" ref="AA12">SUMPRODUCT((LEN('Mediation Dataset (Sudans)'!G415:G452)-LEN(SUBSTITUTE('Mediation Dataset (Sudans)'!G415:G452,A12,"")))/LEN(A12))</f>
        <v>2</v>
      </c>
      <c r="AB12" cm="1">
        <f t="array" ref="AB12">SUMPRODUCT((LEN('Mediation Dataset (Sudans)'!G453:G469)-LEN(SUBSTITUTE('Mediation Dataset (Sudans)'!G453:G469,A12,"")))/LEN(A12))</f>
        <v>1</v>
      </c>
      <c r="AC12" cm="1">
        <f t="array" ref="AC12">SUMPRODUCT((LEN('Mediation Dataset (Sudans)'!G470:G554)-LEN(SUBSTITUTE('Mediation Dataset (Sudans)'!G470:G554,A12,"")))/LEN(A12))</f>
        <v>8</v>
      </c>
      <c r="AD12" cm="1">
        <f t="array" ref="AD12">SUMPRODUCT((LEN('Mediation Dataset (Sudans)'!G555:G568)-LEN(SUBSTITUTE('Mediation Dataset (Sudans)'!G555:G568,A12,"")))/LEN(A12))</f>
        <v>0</v>
      </c>
      <c r="AE12" cm="1">
        <f t="array" ref="AE12">SUMPRODUCT((LEN('Mediation Dataset (Sudans)'!G570:G604)-LEN(SUBSTITUTE('Mediation Dataset (Sudans)'!G570:G604,A12,"")))/LEN(A12))</f>
        <v>5</v>
      </c>
      <c r="AF12" cm="1">
        <f t="array" ref="AF12">SUMPRODUCT((LEN('Mediation Dataset (Sudans)'!G605:G709)-LEN(SUBSTITUTE('Mediation Dataset (Sudans)'!G605:G709,A12,"")))/LEN(A12))</f>
        <v>10</v>
      </c>
      <c r="AG12" cm="1">
        <f t="array" ref="AG12">SUMPRODUCT((LEN('Mediation Dataset (Sudans)'!G710:G742)-LEN(SUBSTITUTE('Mediation Dataset (Sudans)'!G710:G742,A12,"")))/LEN(A12))</f>
        <v>3</v>
      </c>
      <c r="AH12" cm="1">
        <f t="array" ref="AH12">SUMPRODUCT((LEN('Mediation Dataset (Sudans)'!G743:G998)-LEN(SUBSTITUTE('Mediation Dataset (Sudans)'!G743:G998,A12,"")))/LEN(A12))</f>
        <v>3</v>
      </c>
      <c r="AI12" cm="1">
        <f t="array" ref="AI12">SUMPRODUCT((LEN('Mediation Dataset (Sudans)'!G999:G1121)-LEN(SUBSTITUTE('Mediation Dataset (Sudans)'!G999:G1121,A12,"")))/LEN(A12))</f>
        <v>1</v>
      </c>
      <c r="AJ12" cm="1">
        <f t="array" ref="AJ12">SUMPRODUCT((LEN('Mediation Dataset (Sudans)'!G1122:G1218)-LEN(SUBSTITUTE('Mediation Dataset (Sudans)'!G1122:G1218,A12,"")))/LEN(A12))</f>
        <v>1</v>
      </c>
      <c r="AK12">
        <v>0</v>
      </c>
    </row>
    <row r="13" spans="1:37">
      <c r="A13" s="12" t="s">
        <v>151</v>
      </c>
      <c r="B13">
        <v>0</v>
      </c>
      <c r="C13">
        <v>0</v>
      </c>
      <c r="D13">
        <v>0</v>
      </c>
      <c r="E13">
        <v>1</v>
      </c>
      <c r="F13">
        <v>1</v>
      </c>
      <c r="G13">
        <v>1</v>
      </c>
      <c r="H13" cm="1">
        <f t="array" ref="H13">SUMPRODUCT((LEN('Mediation Dataset (Sudans)'!G13:G42)-LEN(SUBSTITUTE('Mediation Dataset (Sudans)'!G13:G42,A13,"")))/LEN(A13))</f>
        <v>0</v>
      </c>
      <c r="I13">
        <v>0</v>
      </c>
      <c r="J13">
        <v>0</v>
      </c>
      <c r="K13" cm="1">
        <f t="array" ref="K13">SUMPRODUCT((LEN('Mediation Dataset (Sudans)'!G48:G58)-LEN(SUBSTITUTE('Mediation Dataset (Sudans)'!G48:G58,A13,"")))/LEN(A13))</f>
        <v>0</v>
      </c>
      <c r="L13">
        <v>0</v>
      </c>
      <c r="M13">
        <v>0</v>
      </c>
      <c r="N13" cm="1">
        <f t="array" ref="N13">SUMPRODUCT((LEN('Mediation Dataset (Sudans)'!G75:G90)-LEN(SUBSTITUTE('Mediation Dataset (Sudans)'!G75:G90,A13,"")))/LEN(A13))</f>
        <v>0</v>
      </c>
      <c r="O13">
        <v>0</v>
      </c>
      <c r="P13" cm="1">
        <f t="array" ref="P13">SUMPRODUCT((LEN('Mediation Dataset (Sudans)'!G93:G140)-LEN(SUBSTITUTE('Mediation Dataset (Sudans)'!G93:G140,A13,"")))/LEN(A13))</f>
        <v>0</v>
      </c>
      <c r="Q13" cm="1">
        <f t="array" ref="Q13">SUMPRODUCT((LEN('Mediation Dataset (Sudans)'!G141:G256)-LEN(SUBSTITUTE('Mediation Dataset (Sudans)'!G141:G256,A13,"")))/LEN(A13))</f>
        <v>0</v>
      </c>
      <c r="R13" cm="1">
        <f t="array" ref="R13">SUMPRODUCT((LEN('Mediation Dataset (Sudans)'!G257:G333)-LEN(SUBSTITUTE('Mediation Dataset (Sudans)'!G257:G333,A13,"")))/LEN(A13))</f>
        <v>0</v>
      </c>
      <c r="S13" cm="1">
        <f t="array" ref="S13">SUMPRODUCT((LEN('Mediation Dataset (Sudans)'!G334:G354)-LEN(SUBSTITUTE('Mediation Dataset (Sudans)'!G334:G354,A13,"")))/LEN(A13))</f>
        <v>0</v>
      </c>
      <c r="T13">
        <v>0</v>
      </c>
      <c r="U13">
        <v>0</v>
      </c>
      <c r="V13">
        <v>0</v>
      </c>
      <c r="W13">
        <v>0</v>
      </c>
      <c r="X13">
        <v>0</v>
      </c>
      <c r="Y13">
        <v>0</v>
      </c>
      <c r="Z13">
        <v>0</v>
      </c>
      <c r="AA13" cm="1">
        <f t="array" ref="AA13">SUMPRODUCT((LEN('Mediation Dataset (Sudans)'!G415:G452)-LEN(SUBSTITUTE('Mediation Dataset (Sudans)'!G415:G452,A13,"")))/LEN(A13))</f>
        <v>0</v>
      </c>
      <c r="AB13" cm="1">
        <f t="array" ref="AB13">SUMPRODUCT((LEN('Mediation Dataset (Sudans)'!G453:G469)-LEN(SUBSTITUTE('Mediation Dataset (Sudans)'!G453:G469,A13,"")))/LEN(A13))</f>
        <v>0</v>
      </c>
      <c r="AC13" cm="1">
        <f t="array" ref="AC13">SUMPRODUCT((LEN('Mediation Dataset (Sudans)'!G470:G554)-LEN(SUBSTITUTE('Mediation Dataset (Sudans)'!G470:G554,A13,"")))/LEN(A13))</f>
        <v>1</v>
      </c>
      <c r="AD13" cm="1">
        <f t="array" ref="AD13">SUMPRODUCT((LEN('Mediation Dataset (Sudans)'!G555:G568)-LEN(SUBSTITUTE('Mediation Dataset (Sudans)'!G555:G568,A13,"")))/LEN(A13))</f>
        <v>0</v>
      </c>
      <c r="AE13" cm="1">
        <f t="array" ref="AE13">SUMPRODUCT((LEN('Mediation Dataset (Sudans)'!G570:G604)-LEN(SUBSTITUTE('Mediation Dataset (Sudans)'!G570:G604,A13,"")))/LEN(A13))</f>
        <v>1</v>
      </c>
      <c r="AF13" cm="1">
        <f t="array" ref="AF13">SUMPRODUCT((LEN('Mediation Dataset (Sudans)'!G605:G709)-LEN(SUBSTITUTE('Mediation Dataset (Sudans)'!G605:G709,A13,"")))/LEN(A13))</f>
        <v>1</v>
      </c>
      <c r="AG13" cm="1">
        <f t="array" ref="AG13">SUMPRODUCT((LEN('Mediation Dataset (Sudans)'!G710:G742)-LEN(SUBSTITUTE('Mediation Dataset (Sudans)'!G710:G742,A13,"")))/LEN(A13))</f>
        <v>0</v>
      </c>
      <c r="AH13" cm="1">
        <f t="array" ref="AH13">SUMPRODUCT((LEN('Mediation Dataset (Sudans)'!G743:G998)-LEN(SUBSTITUTE('Mediation Dataset (Sudans)'!G743:G998,A13,"")))/LEN(A13))</f>
        <v>1</v>
      </c>
      <c r="AI13" cm="1">
        <f t="array" ref="AI13">SUMPRODUCT((LEN('Mediation Dataset (Sudans)'!G999:G1121)-LEN(SUBSTITUTE('Mediation Dataset (Sudans)'!G999:G1121,A13,"")))/LEN(A13))</f>
        <v>0</v>
      </c>
      <c r="AJ13" cm="1">
        <f t="array" ref="AJ13">SUMPRODUCT((LEN('Mediation Dataset (Sudans)'!G1122:G1218)-LEN(SUBSTITUTE('Mediation Dataset (Sudans)'!G1122:G1218,A13,"")))/LEN(A13))</f>
        <v>0</v>
      </c>
      <c r="AK13">
        <v>0</v>
      </c>
    </row>
    <row r="14" spans="1:37">
      <c r="A14" s="12" t="s">
        <v>202</v>
      </c>
      <c r="B14">
        <v>0</v>
      </c>
      <c r="C14">
        <v>0</v>
      </c>
      <c r="D14">
        <v>0</v>
      </c>
      <c r="E14">
        <v>0</v>
      </c>
      <c r="F14">
        <v>0</v>
      </c>
      <c r="G14">
        <v>0</v>
      </c>
      <c r="H14">
        <v>0</v>
      </c>
      <c r="I14">
        <v>0</v>
      </c>
      <c r="J14">
        <v>0</v>
      </c>
      <c r="K14">
        <v>0</v>
      </c>
      <c r="L14">
        <v>0</v>
      </c>
      <c r="M14">
        <v>0</v>
      </c>
      <c r="N14" cm="1">
        <f t="array" ref="N14">SUMPRODUCT((LEN('Mediation Dataset (Sudans)'!G75:G90)-LEN(SUBSTITUTE('Mediation Dataset (Sudans)'!G75:G90,A14,"")))/LEN(A14))</f>
        <v>0</v>
      </c>
      <c r="O14">
        <v>0</v>
      </c>
      <c r="P14" cm="1">
        <f t="array" ref="P14">SUMPRODUCT((LEN('Mediation Dataset (Sudans)'!G93:G140)-LEN(SUBSTITUTE('Mediation Dataset (Sudans)'!G93:G140,A14,"")))/LEN(A14))</f>
        <v>5</v>
      </c>
      <c r="Q14" cm="1">
        <f t="array" ref="Q14">SUMPRODUCT((LEN('Mediation Dataset (Sudans)'!G141:G256)-LEN(SUBSTITUTE('Mediation Dataset (Sudans)'!G141:G256,A14,"")))/LEN(A14))</f>
        <v>12</v>
      </c>
      <c r="R14" cm="1">
        <f t="array" ref="R14">SUMPRODUCT((LEN('Mediation Dataset (Sudans)'!G257:G333)-LEN(SUBSTITUTE('Mediation Dataset (Sudans)'!G257:G333,A14,"")))/LEN(A14))</f>
        <v>5</v>
      </c>
      <c r="S14" cm="1">
        <f t="array" ref="S14">SUMPRODUCT((LEN('Mediation Dataset (Sudans)'!G334:G354)-LEN(SUBSTITUTE('Mediation Dataset (Sudans)'!G334:G354,A14,"")))/LEN(A14))</f>
        <v>1</v>
      </c>
      <c r="T14">
        <v>1</v>
      </c>
      <c r="U14">
        <v>0</v>
      </c>
      <c r="V14">
        <v>0</v>
      </c>
      <c r="W14">
        <v>0</v>
      </c>
      <c r="X14">
        <v>0</v>
      </c>
      <c r="Y14">
        <v>0</v>
      </c>
      <c r="Z14">
        <v>0</v>
      </c>
      <c r="AA14" cm="1">
        <f t="array" ref="AA14">SUMPRODUCT((LEN('Mediation Dataset (Sudans)'!G415:G452)-LEN(SUBSTITUTE('Mediation Dataset (Sudans)'!G415:G452,A14,"")))/LEN(A14))</f>
        <v>0</v>
      </c>
      <c r="AB14" cm="1">
        <f t="array" ref="AB14">SUMPRODUCT((LEN('Mediation Dataset (Sudans)'!G453:G469)-LEN(SUBSTITUTE('Mediation Dataset (Sudans)'!G453:G469,A14,"")))/LEN(A14))</f>
        <v>0</v>
      </c>
      <c r="AC14" cm="1">
        <f t="array" ref="AC14">SUMPRODUCT((LEN('Mediation Dataset (Sudans)'!G470:G554)-LEN(SUBSTITUTE('Mediation Dataset (Sudans)'!G470:G554,A14,"")))/LEN(A14))</f>
        <v>3</v>
      </c>
      <c r="AD14" cm="1">
        <f t="array" ref="AD14">SUMPRODUCT((LEN('Mediation Dataset (Sudans)'!G555:G568)-LEN(SUBSTITUTE('Mediation Dataset (Sudans)'!G555:G568,A14,"")))/LEN(A14))</f>
        <v>0</v>
      </c>
      <c r="AE14" cm="1">
        <f t="array" ref="AE14">SUMPRODUCT((LEN('Mediation Dataset (Sudans)'!G570:G604)-LEN(SUBSTITUTE('Mediation Dataset (Sudans)'!G570:G604,A14,"")))/LEN(A14))</f>
        <v>1</v>
      </c>
      <c r="AF14" cm="1">
        <f t="array" ref="AF14">SUMPRODUCT((LEN('Mediation Dataset (Sudans)'!G605:G709)-LEN(SUBSTITUTE('Mediation Dataset (Sudans)'!G605:G709,A14,"")))/LEN(A14))</f>
        <v>7</v>
      </c>
      <c r="AG14" cm="1">
        <f t="array" ref="AG14">SUMPRODUCT((LEN('Mediation Dataset (Sudans)'!G710:G742)-LEN(SUBSTITUTE('Mediation Dataset (Sudans)'!G710:G742,A14,"")))/LEN(A14))</f>
        <v>2</v>
      </c>
      <c r="AH14" cm="1">
        <f t="array" ref="AH14">SUMPRODUCT((LEN('Mediation Dataset (Sudans)'!G743:G998)-LEN(SUBSTITUTE('Mediation Dataset (Sudans)'!G743:G998,A14,"")))/LEN(A14))</f>
        <v>9</v>
      </c>
      <c r="AI14" cm="1">
        <f t="array" ref="AI14">SUMPRODUCT((LEN('Mediation Dataset (Sudans)'!G999:G1121)-LEN(SUBSTITUTE('Mediation Dataset (Sudans)'!G999:G1121,A14,"")))/LEN(A14))</f>
        <v>4</v>
      </c>
      <c r="AJ14" cm="1">
        <f t="array" ref="AJ14">SUMPRODUCT((LEN('Mediation Dataset (Sudans)'!G1122:G1218)-LEN(SUBSTITUTE('Mediation Dataset (Sudans)'!G1122:G1218,A14,"")))/LEN(A14))</f>
        <v>5</v>
      </c>
      <c r="AK14">
        <v>0</v>
      </c>
    </row>
    <row r="15" spans="1:37">
      <c r="A15" s="12" t="s">
        <v>193</v>
      </c>
      <c r="B15">
        <v>0</v>
      </c>
      <c r="C15">
        <v>0</v>
      </c>
      <c r="D15">
        <v>1</v>
      </c>
      <c r="E15">
        <v>0</v>
      </c>
      <c r="F15">
        <v>0</v>
      </c>
      <c r="G15">
        <v>0</v>
      </c>
      <c r="H15">
        <v>0</v>
      </c>
      <c r="I15">
        <v>0</v>
      </c>
      <c r="J15">
        <v>0</v>
      </c>
      <c r="K15">
        <v>0</v>
      </c>
      <c r="L15">
        <v>0</v>
      </c>
      <c r="M15">
        <v>0</v>
      </c>
      <c r="N15" cm="1">
        <f t="array" ref="N15">SUMPRODUCT((LEN('Mediation Dataset (Sudans)'!G75:G90)-LEN(SUBSTITUTE('Mediation Dataset (Sudans)'!G75:G90,A15,"")))/LEN(A15))</f>
        <v>0</v>
      </c>
      <c r="O15">
        <v>1</v>
      </c>
      <c r="P15" cm="1">
        <f t="array" ref="P15">SUMPRODUCT((LEN('Mediation Dataset (Sudans)'!G93:G140)-LEN(SUBSTITUTE('Mediation Dataset (Sudans)'!G93:G140,A15,"")))/LEN(A15))</f>
        <v>6</v>
      </c>
      <c r="Q15" cm="1">
        <f t="array" ref="Q15">SUMPRODUCT((LEN('Mediation Dataset (Sudans)'!G141:G256)-LEN(SUBSTITUTE('Mediation Dataset (Sudans)'!G141:G256,A15,"")))/LEN(A15))</f>
        <v>12</v>
      </c>
      <c r="R15" cm="1">
        <f t="array" ref="R15">SUMPRODUCT((LEN('Mediation Dataset (Sudans)'!G257:G333)-LEN(SUBSTITUTE('Mediation Dataset (Sudans)'!G257:G333,A15,"")))/LEN(A15))</f>
        <v>8</v>
      </c>
      <c r="S15" cm="1">
        <f t="array" ref="S15">SUMPRODUCT((LEN('Mediation Dataset (Sudans)'!G334:G354)-LEN(SUBSTITUTE('Mediation Dataset (Sudans)'!G334:G354,A15,"")))/LEN(A15))</f>
        <v>1</v>
      </c>
      <c r="T15">
        <v>2</v>
      </c>
      <c r="U15">
        <v>0</v>
      </c>
      <c r="V15">
        <v>0</v>
      </c>
      <c r="W15">
        <v>0</v>
      </c>
      <c r="X15">
        <v>0</v>
      </c>
      <c r="Y15">
        <v>0</v>
      </c>
      <c r="Z15">
        <v>0</v>
      </c>
      <c r="AA15" cm="1">
        <f t="array" ref="AA15">SUMPRODUCT((LEN('Mediation Dataset (Sudans)'!G415:G452)-LEN(SUBSTITUTE('Mediation Dataset (Sudans)'!G415:G452,A15,"")))/LEN(A15))</f>
        <v>0</v>
      </c>
      <c r="AB15" cm="1">
        <f t="array" ref="AB15">SUMPRODUCT((LEN('Mediation Dataset (Sudans)'!G453:G469)-LEN(SUBSTITUTE('Mediation Dataset (Sudans)'!G453:G469,A15,"")))/LEN(A15))</f>
        <v>0</v>
      </c>
      <c r="AC15" cm="1">
        <f t="array" ref="AC15">SUMPRODUCT((LEN('Mediation Dataset (Sudans)'!G470:G554)-LEN(SUBSTITUTE('Mediation Dataset (Sudans)'!G470:G554,A15,"")))/LEN(A15))</f>
        <v>4</v>
      </c>
      <c r="AD15" cm="1">
        <f t="array" ref="AD15">SUMPRODUCT((LEN('Mediation Dataset (Sudans)'!G555:G568)-LEN(SUBSTITUTE('Mediation Dataset (Sudans)'!G555:G568,A15,"")))/LEN(A15))</f>
        <v>2</v>
      </c>
      <c r="AE15" cm="1">
        <f t="array" ref="AE15">SUMPRODUCT((LEN('Mediation Dataset (Sudans)'!G570:G604)-LEN(SUBSTITUTE('Mediation Dataset (Sudans)'!G570:G604,A15,"")))/LEN(A15))</f>
        <v>1</v>
      </c>
      <c r="AF15" cm="1">
        <f t="array" ref="AF15">SUMPRODUCT((LEN('Mediation Dataset (Sudans)'!G605:G709)-LEN(SUBSTITUTE('Mediation Dataset (Sudans)'!G605:G709,A15,"")))/LEN(A15))</f>
        <v>7</v>
      </c>
      <c r="AG15" cm="1">
        <f t="array" ref="AG15">SUMPRODUCT((LEN('Mediation Dataset (Sudans)'!G710:G742)-LEN(SUBSTITUTE('Mediation Dataset (Sudans)'!G710:G742,A15,"")))/LEN(A15))</f>
        <v>2</v>
      </c>
      <c r="AH15" cm="1">
        <f t="array" ref="AH15">SUMPRODUCT((LEN('Mediation Dataset (Sudans)'!G743:G998)-LEN(SUBSTITUTE('Mediation Dataset (Sudans)'!G743:G998,A15,"")))/LEN(A15))</f>
        <v>8</v>
      </c>
      <c r="AI15" cm="1">
        <f t="array" ref="AI15">SUMPRODUCT((LEN('Mediation Dataset (Sudans)'!G999:G1121)-LEN(SUBSTITUTE('Mediation Dataset (Sudans)'!G999:G1121,A15,"")))/LEN(A15))</f>
        <v>5</v>
      </c>
      <c r="AJ15" cm="1">
        <f t="array" ref="AJ15">SUMPRODUCT((LEN('Mediation Dataset (Sudans)'!G1122:G1218)-LEN(SUBSTITUTE('Mediation Dataset (Sudans)'!G1122:G1218,A15,"")))/LEN(A15))</f>
        <v>5</v>
      </c>
      <c r="AK15">
        <v>0</v>
      </c>
    </row>
    <row r="16" spans="1:37">
      <c r="A16" s="12" t="s">
        <v>37</v>
      </c>
      <c r="B16">
        <v>0</v>
      </c>
      <c r="C16">
        <v>2</v>
      </c>
      <c r="D16">
        <v>0</v>
      </c>
      <c r="E16">
        <v>0</v>
      </c>
      <c r="F16">
        <v>0</v>
      </c>
      <c r="G16">
        <v>0</v>
      </c>
      <c r="H16">
        <v>0</v>
      </c>
      <c r="I16">
        <v>0</v>
      </c>
      <c r="J16">
        <v>1</v>
      </c>
      <c r="K16">
        <v>0</v>
      </c>
      <c r="L16">
        <v>0</v>
      </c>
      <c r="M16">
        <v>0</v>
      </c>
      <c r="N16" cm="1">
        <f t="array" ref="N16">SUMPRODUCT((LEN('Mediation Dataset (Sudans)'!G75:G90)-LEN(SUBSTITUTE('Mediation Dataset (Sudans)'!G75:G90,A16,"")))/LEN(A16))</f>
        <v>2</v>
      </c>
      <c r="O16">
        <v>0</v>
      </c>
      <c r="P16" cm="1">
        <f t="array" ref="P16">SUMPRODUCT((LEN('Mediation Dataset (Sudans)'!G93:G140)-LEN(SUBSTITUTE('Mediation Dataset (Sudans)'!G93:G140,A16,"")))/LEN(A16))</f>
        <v>0</v>
      </c>
      <c r="Q16" cm="1">
        <f t="array" ref="Q16">SUMPRODUCT((LEN('Mediation Dataset (Sudans)'!G141:G256)-LEN(SUBSTITUTE('Mediation Dataset (Sudans)'!G141:G256,A16,"")))/LEN(A16))</f>
        <v>0</v>
      </c>
      <c r="R16" cm="1">
        <f t="array" ref="R16">SUMPRODUCT((LEN('Mediation Dataset (Sudans)'!G257:G333)-LEN(SUBSTITUTE('Mediation Dataset (Sudans)'!G257:G333,A16,"")))/LEN(A16))</f>
        <v>2</v>
      </c>
      <c r="S16" cm="1">
        <f t="array" ref="S16">SUMPRODUCT((LEN('Mediation Dataset (Sudans)'!G334:G354)-LEN(SUBSTITUTE('Mediation Dataset (Sudans)'!G334:G354,A16,"")))/LEN(A16))</f>
        <v>1</v>
      </c>
      <c r="T16">
        <v>1</v>
      </c>
      <c r="U16">
        <v>0</v>
      </c>
      <c r="V16">
        <v>2</v>
      </c>
      <c r="W16">
        <v>1</v>
      </c>
      <c r="X16">
        <v>0</v>
      </c>
      <c r="Y16">
        <v>0</v>
      </c>
      <c r="Z16" cm="1">
        <f t="array" ref="Z16">SUMPRODUCT((LEN('Mediation Dataset (Sudans)'!G394:G414)-LEN(SUBSTITUTE('Mediation Dataset (Sudans)'!G394:G414,A16,"")))/LEN(A16))</f>
        <v>4</v>
      </c>
      <c r="AA16" cm="1">
        <f t="array" ref="AA16">SUMPRODUCT((LEN('Mediation Dataset (Sudans)'!G415:G452)-LEN(SUBSTITUTE('Mediation Dataset (Sudans)'!G415:G452,A16,"")))/LEN(A16))</f>
        <v>5</v>
      </c>
      <c r="AB16" cm="1">
        <f t="array" ref="AB16">SUMPRODUCT((LEN('Mediation Dataset (Sudans)'!G453:G469)-LEN(SUBSTITUTE('Mediation Dataset (Sudans)'!G453:G469,A16,"")))/LEN(A16))</f>
        <v>2</v>
      </c>
      <c r="AC16" cm="1">
        <f t="array" ref="AC16">SUMPRODUCT((LEN('Mediation Dataset (Sudans)'!G470:G554)-LEN(SUBSTITUTE('Mediation Dataset (Sudans)'!G470:G554,A16,"")))/LEN(A16))</f>
        <v>3</v>
      </c>
      <c r="AD16" cm="1">
        <f t="array" ref="AD16">SUMPRODUCT((LEN('Mediation Dataset (Sudans)'!G555:G568)-LEN(SUBSTITUTE('Mediation Dataset (Sudans)'!G555:G568,A16,"")))/LEN(A16))</f>
        <v>0</v>
      </c>
      <c r="AE16" cm="1">
        <f t="array" ref="AE16">SUMPRODUCT((LEN('Mediation Dataset (Sudans)'!G570:G604)-LEN(SUBSTITUTE('Mediation Dataset (Sudans)'!G570:G604,A16,"")))/LEN(A16))</f>
        <v>1</v>
      </c>
      <c r="AF16" cm="1">
        <f t="array" ref="AF16">SUMPRODUCT((LEN('Mediation Dataset (Sudans)'!G605:G709)-LEN(SUBSTITUTE('Mediation Dataset (Sudans)'!G605:G709,A16,"")))/LEN(A16))</f>
        <v>3</v>
      </c>
      <c r="AG16" cm="1">
        <f t="array" ref="AG16">SUMPRODUCT((LEN('Mediation Dataset (Sudans)'!G710:G742)-LEN(SUBSTITUTE('Mediation Dataset (Sudans)'!G710:G742,A16,"")))/LEN(A16))</f>
        <v>2</v>
      </c>
      <c r="AH16" cm="1">
        <f t="array" ref="AH16">SUMPRODUCT((LEN('Mediation Dataset (Sudans)'!G743:G998)-LEN(SUBSTITUTE('Mediation Dataset (Sudans)'!G743:G998,A16,"")))/LEN(A16))</f>
        <v>36</v>
      </c>
      <c r="AI16" cm="1">
        <f t="array" ref="AI16">SUMPRODUCT((LEN('Mediation Dataset (Sudans)'!G999:G1121)-LEN(SUBSTITUTE('Mediation Dataset (Sudans)'!G999:G1121,A16,"")))/LEN(A16))</f>
        <v>33</v>
      </c>
      <c r="AJ16" cm="1">
        <f t="array" ref="AJ16">SUMPRODUCT((LEN('Mediation Dataset (Sudans)'!G1122:G1218)-LEN(SUBSTITUTE('Mediation Dataset (Sudans)'!G1122:G1218,A16,"")))/LEN(A16))</f>
        <v>29</v>
      </c>
      <c r="AK16">
        <v>3</v>
      </c>
    </row>
    <row r="17" spans="1:37">
      <c r="A17" s="12" t="s">
        <v>161</v>
      </c>
      <c r="B17">
        <v>0</v>
      </c>
      <c r="C17">
        <v>0</v>
      </c>
      <c r="D17">
        <v>0</v>
      </c>
      <c r="E17">
        <v>0</v>
      </c>
      <c r="F17">
        <v>0</v>
      </c>
      <c r="G17">
        <v>0</v>
      </c>
      <c r="H17">
        <v>0</v>
      </c>
      <c r="I17">
        <v>0</v>
      </c>
      <c r="J17">
        <v>0</v>
      </c>
      <c r="K17">
        <v>0</v>
      </c>
      <c r="L17">
        <v>0</v>
      </c>
      <c r="M17">
        <v>0</v>
      </c>
      <c r="N17" cm="1">
        <f t="array" ref="N17">SUMPRODUCT((LEN('Mediation Dataset (Sudans)'!G75:G90)-LEN(SUBSTITUTE('Mediation Dataset (Sudans)'!G75:G90,A17,"")))/LEN(A17))</f>
        <v>0</v>
      </c>
      <c r="O17">
        <v>0</v>
      </c>
      <c r="P17" cm="1">
        <f t="array" ref="P17">SUMPRODUCT((LEN('Mediation Dataset (Sudans)'!G93:G140)-LEN(SUBSTITUTE('Mediation Dataset (Sudans)'!G93:G140,A17,"")))/LEN(A17))</f>
        <v>0</v>
      </c>
      <c r="Q17" cm="1">
        <f t="array" ref="Q17">SUMPRODUCT((LEN('Mediation Dataset (Sudans)'!G141:G256)-LEN(SUBSTITUTE('Mediation Dataset (Sudans)'!G141:G256,A17,"")))/LEN(A17))</f>
        <v>0</v>
      </c>
      <c r="R17" cm="1">
        <f t="array" ref="R17">SUMPRODUCT((LEN('Mediation Dataset (Sudans)'!G257:G333)-LEN(SUBSTITUTE('Mediation Dataset (Sudans)'!G257:G333,A17,"")))/LEN(A17))</f>
        <v>4</v>
      </c>
      <c r="S17" cm="1">
        <f t="array" ref="S17">SUMPRODUCT((LEN('Mediation Dataset (Sudans)'!G334:G354)-LEN(SUBSTITUTE('Mediation Dataset (Sudans)'!G334:G354,A17,"")))/LEN(A17))</f>
        <v>1</v>
      </c>
      <c r="T17">
        <v>2</v>
      </c>
      <c r="U17">
        <v>0</v>
      </c>
      <c r="V17">
        <v>0</v>
      </c>
      <c r="W17">
        <v>0</v>
      </c>
      <c r="X17">
        <v>0</v>
      </c>
      <c r="Y17">
        <v>0</v>
      </c>
      <c r="Z17">
        <v>0</v>
      </c>
      <c r="AA17" cm="1">
        <f t="array" ref="AA17">SUMPRODUCT((LEN('Mediation Dataset (Sudans)'!G415:G452)-LEN(SUBSTITUTE('Mediation Dataset (Sudans)'!G415:G452,A17,"")))/LEN(A17))</f>
        <v>0</v>
      </c>
      <c r="AB17" cm="1">
        <f t="array" ref="AB17">SUMPRODUCT((LEN('Mediation Dataset (Sudans)'!G453:G469)-LEN(SUBSTITUTE('Mediation Dataset (Sudans)'!G453:G469,A17,"")))/LEN(A17))</f>
        <v>0</v>
      </c>
      <c r="AC17" cm="1">
        <f t="array" ref="AC17">SUMPRODUCT((LEN('Mediation Dataset (Sudans)'!G470:G554)-LEN(SUBSTITUTE('Mediation Dataset (Sudans)'!G470:G554,A17,"")))/LEN(A17))</f>
        <v>3</v>
      </c>
      <c r="AD17" cm="1">
        <f t="array" ref="AD17">SUMPRODUCT((LEN('Mediation Dataset (Sudans)'!G555:G568)-LEN(SUBSTITUTE('Mediation Dataset (Sudans)'!G555:G568,A17,"")))/LEN(A17))</f>
        <v>0</v>
      </c>
      <c r="AE17" cm="1">
        <f t="array" ref="AE17">SUMPRODUCT((LEN('Mediation Dataset (Sudans)'!G570:G604)-LEN(SUBSTITUTE('Mediation Dataset (Sudans)'!G570:G604,A17,"")))/LEN(A17))</f>
        <v>1</v>
      </c>
      <c r="AF17" cm="1">
        <f t="array" ref="AF17">SUMPRODUCT((LEN('Mediation Dataset (Sudans)'!G605:G709)-LEN(SUBSTITUTE('Mediation Dataset (Sudans)'!G605:G709,A17,"")))/LEN(A17))</f>
        <v>2</v>
      </c>
      <c r="AG17" cm="1">
        <f t="array" ref="AG17">SUMPRODUCT((LEN('Mediation Dataset (Sudans)'!G710:G742)-LEN(SUBSTITUTE('Mediation Dataset (Sudans)'!G710:G742,A17,"")))/LEN(A17))</f>
        <v>0</v>
      </c>
      <c r="AH17" cm="1">
        <f t="array" ref="AH17">SUMPRODUCT((LEN('Mediation Dataset (Sudans)'!G743:G998)-LEN(SUBSTITUTE('Mediation Dataset (Sudans)'!G743:G998,A17,"")))/LEN(A17))</f>
        <v>10</v>
      </c>
      <c r="AI17" cm="1">
        <f t="array" ref="AI17">SUMPRODUCT((LEN('Mediation Dataset (Sudans)'!G999:G1121)-LEN(SUBSTITUTE('Mediation Dataset (Sudans)'!G999:G1121,A17,"")))/LEN(A17))</f>
        <v>2</v>
      </c>
      <c r="AJ17" cm="1">
        <f t="array" ref="AJ17">SUMPRODUCT((LEN('Mediation Dataset (Sudans)'!G1122:G1218)-LEN(SUBSTITUTE('Mediation Dataset (Sudans)'!G1122:G1218,A17,"")))/LEN(A17))</f>
        <v>4</v>
      </c>
      <c r="AK17">
        <v>0</v>
      </c>
    </row>
    <row r="18" spans="1:37">
      <c r="A18" s="12" t="s">
        <v>154</v>
      </c>
      <c r="B18">
        <v>0</v>
      </c>
      <c r="C18">
        <v>0</v>
      </c>
      <c r="D18">
        <v>0</v>
      </c>
      <c r="E18">
        <v>0</v>
      </c>
      <c r="F18">
        <v>0</v>
      </c>
      <c r="G18">
        <v>0</v>
      </c>
      <c r="H18">
        <v>0</v>
      </c>
      <c r="I18">
        <v>0</v>
      </c>
      <c r="J18">
        <v>0</v>
      </c>
      <c r="K18">
        <v>0</v>
      </c>
      <c r="L18">
        <v>0</v>
      </c>
      <c r="M18">
        <v>0</v>
      </c>
      <c r="N18" cm="1">
        <f t="array" ref="N18">SUMPRODUCT((LEN('Mediation Dataset (Sudans)'!G75:G90)-LEN(SUBSTITUTE('Mediation Dataset (Sudans)'!G75:G90,A18,"")))/LEN(A18))</f>
        <v>2</v>
      </c>
      <c r="O18">
        <v>0</v>
      </c>
      <c r="P18" cm="1">
        <f t="array" ref="P18">SUMPRODUCT((LEN('Mediation Dataset (Sudans)'!G93:G140)-LEN(SUBSTITUTE('Mediation Dataset (Sudans)'!G93:G140,A18,"")))/LEN(A18))</f>
        <v>0</v>
      </c>
      <c r="Q18" cm="1">
        <f t="array" ref="Q18">SUMPRODUCT((LEN('Mediation Dataset (Sudans)'!G141:G256)-LEN(SUBSTITUTE('Mediation Dataset (Sudans)'!G141:G256,A18,"")))/LEN(A18))</f>
        <v>0</v>
      </c>
      <c r="R18" cm="1">
        <f t="array" ref="R18">SUMPRODUCT((LEN('Mediation Dataset (Sudans)'!G257:G333)-LEN(SUBSTITUTE('Mediation Dataset (Sudans)'!G257:G333,A18,"")))/LEN(A18))</f>
        <v>1</v>
      </c>
      <c r="S18" cm="1">
        <f t="array" ref="S18">SUMPRODUCT((LEN('Mediation Dataset (Sudans)'!G334:G354)-LEN(SUBSTITUTE('Mediation Dataset (Sudans)'!G334:G354,A18,"")))/LEN(A18))</f>
        <v>4</v>
      </c>
      <c r="T18">
        <v>0</v>
      </c>
      <c r="U18">
        <v>0</v>
      </c>
      <c r="V18">
        <v>0</v>
      </c>
      <c r="W18">
        <v>0</v>
      </c>
      <c r="X18">
        <v>0</v>
      </c>
      <c r="Y18">
        <v>0</v>
      </c>
      <c r="Z18">
        <v>0</v>
      </c>
      <c r="AA18" cm="1">
        <f t="array" ref="AA18">SUMPRODUCT((LEN('Mediation Dataset (Sudans)'!G415:G452)-LEN(SUBSTITUTE('Mediation Dataset (Sudans)'!G415:G452,A18,"")))/LEN(A18))</f>
        <v>0</v>
      </c>
      <c r="AB18" cm="1">
        <f t="array" ref="AB18">SUMPRODUCT((LEN('Mediation Dataset (Sudans)'!G453:G469)-LEN(SUBSTITUTE('Mediation Dataset (Sudans)'!G453:G469,A18,"")))/LEN(A18))</f>
        <v>0</v>
      </c>
      <c r="AC18" cm="1">
        <f t="array" ref="AC18">SUMPRODUCT((LEN('Mediation Dataset (Sudans)'!G470:G554)-LEN(SUBSTITUTE('Mediation Dataset (Sudans)'!G470:G554,A18,"")))/LEN(A18))</f>
        <v>0</v>
      </c>
      <c r="AD18" cm="1">
        <f t="array" ref="AD18">SUMPRODUCT((LEN('Mediation Dataset (Sudans)'!G555:G568)-LEN(SUBSTITUTE('Mediation Dataset (Sudans)'!G555:G568,A18,"")))/LEN(A18))</f>
        <v>0</v>
      </c>
      <c r="AE18" cm="1">
        <f t="array" ref="AE18">SUMPRODUCT((LEN('Mediation Dataset (Sudans)'!G570:G604)-LEN(SUBSTITUTE('Mediation Dataset (Sudans)'!G570:G604,A18,"")))/LEN(A18))</f>
        <v>2</v>
      </c>
      <c r="AF18" cm="1">
        <f t="array" ref="AF18">SUMPRODUCT((LEN('Mediation Dataset (Sudans)'!G605:G709)-LEN(SUBSTITUTE('Mediation Dataset (Sudans)'!G605:G709,A18,"")))/LEN(A18))</f>
        <v>0</v>
      </c>
      <c r="AG18" cm="1">
        <f t="array" ref="AG18">SUMPRODUCT((LEN('Mediation Dataset (Sudans)'!G710:G742)-LEN(SUBSTITUTE('Mediation Dataset (Sudans)'!G710:G742,A18,"")))/LEN(A18))</f>
        <v>1</v>
      </c>
      <c r="AH18" cm="1">
        <f t="array" ref="AH18">SUMPRODUCT((LEN('Mediation Dataset (Sudans)'!G743:G998)-LEN(SUBSTITUTE('Mediation Dataset (Sudans)'!G743:G998,A18,"")))/LEN(A18))</f>
        <v>4</v>
      </c>
      <c r="AI18" cm="1">
        <f t="array" ref="AI18">SUMPRODUCT((LEN('Mediation Dataset (Sudans)'!G999:G1121)-LEN(SUBSTITUTE('Mediation Dataset (Sudans)'!G999:G1121,A18,"")))/LEN(A18))</f>
        <v>1</v>
      </c>
      <c r="AJ18" cm="1">
        <f t="array" ref="AJ18">SUMPRODUCT((LEN('Mediation Dataset (Sudans)'!G1122:G1218)-LEN(SUBSTITUTE('Mediation Dataset (Sudans)'!G1122:G1218,A18,"")))/LEN(A18))</f>
        <v>0</v>
      </c>
      <c r="AK18">
        <v>0</v>
      </c>
    </row>
    <row r="19" spans="1:37">
      <c r="A19" s="12" t="s">
        <v>283</v>
      </c>
      <c r="B19">
        <v>0</v>
      </c>
      <c r="C19">
        <v>0</v>
      </c>
      <c r="D19">
        <v>0</v>
      </c>
      <c r="E19">
        <v>0</v>
      </c>
      <c r="F19">
        <v>0</v>
      </c>
      <c r="G19">
        <v>0</v>
      </c>
      <c r="H19">
        <v>0</v>
      </c>
      <c r="I19">
        <v>0</v>
      </c>
      <c r="J19">
        <v>0</v>
      </c>
      <c r="K19">
        <v>0</v>
      </c>
      <c r="L19">
        <v>0</v>
      </c>
      <c r="M19">
        <v>0</v>
      </c>
      <c r="N19" cm="1">
        <f t="array" ref="N19">SUMPRODUCT((LEN('Mediation Dataset (Sudans)'!G75:G90)-LEN(SUBSTITUTE('Mediation Dataset (Sudans)'!G75:G90,A19,"")))/LEN(A19))</f>
        <v>2</v>
      </c>
      <c r="O19">
        <v>0</v>
      </c>
      <c r="P19" cm="1">
        <f t="array" ref="P19">SUMPRODUCT((LEN('Mediation Dataset (Sudans)'!G93:G140)-LEN(SUBSTITUTE('Mediation Dataset (Sudans)'!G93:G140,A19,"")))/LEN(A19))</f>
        <v>0</v>
      </c>
      <c r="Q19" cm="1">
        <f t="array" ref="Q19">SUMPRODUCT((LEN('Mediation Dataset (Sudans)'!G141:G256)-LEN(SUBSTITUTE('Mediation Dataset (Sudans)'!G141:G256,A19,"")))/LEN(A19))</f>
        <v>0</v>
      </c>
      <c r="R19" cm="1">
        <f t="array" ref="R19">SUMPRODUCT((LEN('Mediation Dataset (Sudans)'!G257:G333)-LEN(SUBSTITUTE('Mediation Dataset (Sudans)'!G257:G333,A19,"")))/LEN(A19))</f>
        <v>0</v>
      </c>
      <c r="S19" cm="1">
        <f t="array" ref="S19">SUMPRODUCT((LEN('Mediation Dataset (Sudans)'!G334:G354)-LEN(SUBSTITUTE('Mediation Dataset (Sudans)'!G334:G354,A19,"")))/LEN(A19))</f>
        <v>0</v>
      </c>
      <c r="T19">
        <v>0</v>
      </c>
      <c r="U19">
        <v>0</v>
      </c>
      <c r="V19">
        <v>0</v>
      </c>
      <c r="W19">
        <v>0</v>
      </c>
      <c r="X19">
        <v>0</v>
      </c>
      <c r="Y19">
        <v>0</v>
      </c>
      <c r="Z19">
        <v>0</v>
      </c>
      <c r="AA19" cm="1">
        <f t="array" ref="AA19">SUMPRODUCT((LEN('Mediation Dataset (Sudans)'!G415:G452)-LEN(SUBSTITUTE('Mediation Dataset (Sudans)'!G415:G452,A19,"")))/LEN(A19))</f>
        <v>0</v>
      </c>
      <c r="AB19" cm="1">
        <f t="array" ref="AB19">SUMPRODUCT((LEN('Mediation Dataset (Sudans)'!G453:G469)-LEN(SUBSTITUTE('Mediation Dataset (Sudans)'!G453:G469,A19,"")))/LEN(A19))</f>
        <v>0</v>
      </c>
      <c r="AC19" cm="1">
        <f t="array" ref="AC19">SUMPRODUCT((LEN('Mediation Dataset (Sudans)'!G470:G554)-LEN(SUBSTITUTE('Mediation Dataset (Sudans)'!G470:G554,A19,"")))/LEN(A19))</f>
        <v>0</v>
      </c>
      <c r="AD19" cm="1">
        <f t="array" ref="AD19">SUMPRODUCT((LEN('Mediation Dataset (Sudans)'!G555:G568)-LEN(SUBSTITUTE('Mediation Dataset (Sudans)'!G555:G568,A19,"")))/LEN(A19))</f>
        <v>0</v>
      </c>
      <c r="AE19" cm="1">
        <f t="array" ref="AE19">SUMPRODUCT((LEN('Mediation Dataset (Sudans)'!G570:G604)-LEN(SUBSTITUTE('Mediation Dataset (Sudans)'!G570:G604,A19,"")))/LEN(A19))</f>
        <v>0</v>
      </c>
      <c r="AF19" cm="1">
        <f t="array" ref="AF19">SUMPRODUCT((LEN('Mediation Dataset (Sudans)'!G605:G709)-LEN(SUBSTITUTE('Mediation Dataset (Sudans)'!G605:G709,A19,"")))/LEN(A19))</f>
        <v>0</v>
      </c>
      <c r="AG19" cm="1">
        <f t="array" ref="AG19">SUMPRODUCT((LEN('Mediation Dataset (Sudans)'!G710:G742)-LEN(SUBSTITUTE('Mediation Dataset (Sudans)'!G710:G742,A19,"")))/LEN(A19))</f>
        <v>0</v>
      </c>
      <c r="AH19" cm="1">
        <f t="array" ref="AH19">SUMPRODUCT((LEN('Mediation Dataset (Sudans)'!G743:G998)-LEN(SUBSTITUTE('Mediation Dataset (Sudans)'!G743:G998,A19,"")))/LEN(A19))</f>
        <v>0</v>
      </c>
      <c r="AI19" cm="1">
        <f t="array" ref="AI19">SUMPRODUCT((LEN('Mediation Dataset (Sudans)'!G999:G1121)-LEN(SUBSTITUTE('Mediation Dataset (Sudans)'!G999:G1121,A19,"")))/LEN(A19))</f>
        <v>0</v>
      </c>
      <c r="AJ19" cm="1">
        <f t="array" ref="AJ19">SUMPRODUCT((LEN('Mediation Dataset (Sudans)'!G1122:G1218)-LEN(SUBSTITUTE('Mediation Dataset (Sudans)'!G1122:G1218,A19,"")))/LEN(A19))</f>
        <v>0</v>
      </c>
      <c r="AK19">
        <v>0</v>
      </c>
    </row>
    <row r="20" spans="1:37">
      <c r="A20" s="12" t="s">
        <v>155</v>
      </c>
      <c r="B20">
        <v>0</v>
      </c>
      <c r="C20">
        <v>0</v>
      </c>
      <c r="D20">
        <v>0</v>
      </c>
      <c r="E20">
        <v>0</v>
      </c>
      <c r="F20">
        <v>0</v>
      </c>
      <c r="G20">
        <v>0</v>
      </c>
      <c r="H20">
        <v>0</v>
      </c>
      <c r="I20">
        <v>0</v>
      </c>
      <c r="J20">
        <v>0</v>
      </c>
      <c r="K20">
        <v>0</v>
      </c>
      <c r="L20">
        <v>0</v>
      </c>
      <c r="M20">
        <v>0</v>
      </c>
      <c r="N20">
        <v>0</v>
      </c>
      <c r="O20">
        <v>0</v>
      </c>
      <c r="P20">
        <v>0</v>
      </c>
      <c r="Q20" cm="1">
        <f t="array" ref="Q20">SUMPRODUCT((LEN('Mediation Dataset (Sudans)'!G141:G256)-LEN(SUBSTITUTE('Mediation Dataset (Sudans)'!G141:G256,A20,"")))/LEN(A20))</f>
        <v>1</v>
      </c>
      <c r="R20" cm="1">
        <f t="array" ref="R20">SUMPRODUCT((LEN('Mediation Dataset (Sudans)'!G257:G333)-LEN(SUBSTITUTE('Mediation Dataset (Sudans)'!G257:G333,A20,"")))/LEN(A20))</f>
        <v>0</v>
      </c>
      <c r="S20" cm="1">
        <f t="array" ref="S20">SUMPRODUCT((LEN('Mediation Dataset (Sudans)'!G334:G354)-LEN(SUBSTITUTE('Mediation Dataset (Sudans)'!G334:G354,A20,"")))/LEN(A20))</f>
        <v>0</v>
      </c>
      <c r="T20">
        <v>0</v>
      </c>
      <c r="U20">
        <v>0</v>
      </c>
      <c r="V20">
        <v>0</v>
      </c>
      <c r="W20">
        <v>0</v>
      </c>
      <c r="X20">
        <v>0</v>
      </c>
      <c r="Y20">
        <v>0</v>
      </c>
      <c r="Z20">
        <v>0</v>
      </c>
      <c r="AA20" cm="1">
        <f t="array" ref="AA20">SUMPRODUCT((LEN('Mediation Dataset (Sudans)'!G415:G452)-LEN(SUBSTITUTE('Mediation Dataset (Sudans)'!G415:G452,A20,"")))/LEN(A20))</f>
        <v>0</v>
      </c>
      <c r="AB20" cm="1">
        <f t="array" ref="AB20">SUMPRODUCT((LEN('Mediation Dataset (Sudans)'!G453:G469)-LEN(SUBSTITUTE('Mediation Dataset (Sudans)'!G453:G469,A20,"")))/LEN(A20))</f>
        <v>0</v>
      </c>
      <c r="AC20" cm="1">
        <f t="array" ref="AC20">SUMPRODUCT((LEN('Mediation Dataset (Sudans)'!G470:G554)-LEN(SUBSTITUTE('Mediation Dataset (Sudans)'!G470:G554,A20,"")))/LEN(A20))</f>
        <v>0</v>
      </c>
      <c r="AD20" cm="1">
        <f t="array" ref="AD20">SUMPRODUCT((LEN('Mediation Dataset (Sudans)'!G555:G568)-LEN(SUBSTITUTE('Mediation Dataset (Sudans)'!G555:G568,A20,"")))/LEN(A20))</f>
        <v>0</v>
      </c>
      <c r="AE20" cm="1">
        <f t="array" ref="AE20">SUMPRODUCT((LEN('Mediation Dataset (Sudans)'!G570:G604)-LEN(SUBSTITUTE('Mediation Dataset (Sudans)'!G570:G604,A20,"")))/LEN(A20))</f>
        <v>0</v>
      </c>
      <c r="AF20" cm="1">
        <f t="array" ref="AF20">SUMPRODUCT((LEN('Mediation Dataset (Sudans)'!G605:G709)-LEN(SUBSTITUTE('Mediation Dataset (Sudans)'!G605:G709,A20,"")))/LEN(A20))</f>
        <v>0</v>
      </c>
      <c r="AG20" cm="1">
        <f t="array" ref="AG20">SUMPRODUCT((LEN('Mediation Dataset (Sudans)'!G710:G742)-LEN(SUBSTITUTE('Mediation Dataset (Sudans)'!G710:G742,A20,"")))/LEN(A20))</f>
        <v>2</v>
      </c>
      <c r="AH20" cm="1">
        <f t="array" ref="AH20">SUMPRODUCT((LEN('Mediation Dataset (Sudans)'!G743:G998)-LEN(SUBSTITUTE('Mediation Dataset (Sudans)'!G743:G998,A20,"")))/LEN(A20))</f>
        <v>4</v>
      </c>
      <c r="AI20" cm="1">
        <f t="array" ref="AI20">SUMPRODUCT((LEN('Mediation Dataset (Sudans)'!G999:G1121)-LEN(SUBSTITUTE('Mediation Dataset (Sudans)'!G999:G1121,A20,"")))/LEN(A20))</f>
        <v>2</v>
      </c>
      <c r="AJ20" cm="1">
        <f t="array" ref="AJ20">SUMPRODUCT((LEN('Mediation Dataset (Sudans)'!G1122:G1218)-LEN(SUBSTITUTE('Mediation Dataset (Sudans)'!G1122:G1218,A20,"")))/LEN(A20))</f>
        <v>1</v>
      </c>
      <c r="AK20">
        <v>0</v>
      </c>
    </row>
    <row r="21" spans="1:37">
      <c r="A21" s="12" t="s">
        <v>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cm="1">
        <f t="array" ref="AA21">SUMPRODUCT((LEN('Mediation Dataset (Sudans)'!G415:G452)-LEN(SUBSTITUTE('Mediation Dataset (Sudans)'!G415:G452,A21,"")))/LEN(A21))</f>
        <v>2</v>
      </c>
      <c r="AB21" cm="1">
        <f t="array" ref="AB21">SUMPRODUCT((LEN('Mediation Dataset (Sudans)'!G453:G469)-LEN(SUBSTITUTE('Mediation Dataset (Sudans)'!G453:G469,A21,"")))/LEN(A21))</f>
        <v>2</v>
      </c>
      <c r="AC21" cm="1">
        <f t="array" ref="AC21">SUMPRODUCT((LEN('Mediation Dataset (Sudans)'!G470:G554)-LEN(SUBSTITUTE('Mediation Dataset (Sudans)'!G470:G554,A21,"")))/LEN(A21))</f>
        <v>8</v>
      </c>
      <c r="AD21" cm="1">
        <f t="array" ref="AD21">SUMPRODUCT((LEN('Mediation Dataset (Sudans)'!G555:G568)-LEN(SUBSTITUTE('Mediation Dataset (Sudans)'!G555:G568,A21,"")))/LEN(A21))</f>
        <v>0</v>
      </c>
      <c r="AE21" cm="1">
        <f t="array" ref="AE21">SUMPRODUCT((LEN('Mediation Dataset (Sudans)'!G570:G604)-LEN(SUBSTITUTE('Mediation Dataset (Sudans)'!G570:G604,A21,"")))/LEN(A21))</f>
        <v>2</v>
      </c>
      <c r="AF21" cm="1">
        <f t="array" ref="AF21">SUMPRODUCT((LEN('Mediation Dataset (Sudans)'!G605:G709)-LEN(SUBSTITUTE('Mediation Dataset (Sudans)'!G605:G709,A21,"")))/LEN(A21))</f>
        <v>11</v>
      </c>
      <c r="AG21" cm="1">
        <f t="array" ref="AG21">SUMPRODUCT((LEN('Mediation Dataset (Sudans)'!G710:G742)-LEN(SUBSTITUTE('Mediation Dataset (Sudans)'!G710:G742,A21,"")))/LEN(A21))</f>
        <v>6</v>
      </c>
      <c r="AH21" cm="1">
        <f t="array" ref="AH21">SUMPRODUCT((LEN('Mediation Dataset (Sudans)'!G743:G998)-LEN(SUBSTITUTE('Mediation Dataset (Sudans)'!G743:G998,A21,"")))/LEN(A21))</f>
        <v>15</v>
      </c>
      <c r="AI21" cm="1">
        <f t="array" ref="AI21">SUMPRODUCT((LEN('Mediation Dataset (Sudans)'!G999:G1121)-LEN(SUBSTITUTE('Mediation Dataset (Sudans)'!G999:G1121,A21,"")))/LEN(A21))</f>
        <v>11</v>
      </c>
      <c r="AJ21" cm="1">
        <f t="array" ref="AJ21">SUMPRODUCT((LEN('Mediation Dataset (Sudans)'!G1122:G1218)-LEN(SUBSTITUTE('Mediation Dataset (Sudans)'!G1122:G1218,A21,"")))/LEN(A21))</f>
        <v>1</v>
      </c>
      <c r="AK21">
        <v>0</v>
      </c>
    </row>
    <row r="22" spans="1:37">
      <c r="A22" s="12" t="s">
        <v>18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cm="1">
        <f t="array" ref="AA22">SUMPRODUCT((LEN('Mediation Dataset (Sudans)'!G415:G452)-LEN(SUBSTITUTE('Mediation Dataset (Sudans)'!G415:G452,A22,"")))/LEN(A22))</f>
        <v>0</v>
      </c>
      <c r="AB22" cm="1">
        <f t="array" ref="AB22">SUMPRODUCT((LEN('Mediation Dataset (Sudans)'!G453:G469)-LEN(SUBSTITUTE('Mediation Dataset (Sudans)'!G453:G469,A22,"")))/LEN(A22))</f>
        <v>1</v>
      </c>
      <c r="AC22" cm="1">
        <f t="array" ref="AC22">SUMPRODUCT((LEN('Mediation Dataset (Sudans)'!G470:G554)-LEN(SUBSTITUTE('Mediation Dataset (Sudans)'!G470:G554,A22,"")))/LEN(A22))</f>
        <v>0</v>
      </c>
      <c r="AD22" cm="1">
        <f t="array" ref="AD22">SUMPRODUCT((LEN('Mediation Dataset (Sudans)'!G555:G568)-LEN(SUBSTITUTE('Mediation Dataset (Sudans)'!G555:G568,A22,"")))/LEN(A22))</f>
        <v>0</v>
      </c>
      <c r="AE22" cm="1">
        <f t="array" ref="AE22">SUMPRODUCT((LEN('Mediation Dataset (Sudans)'!G570:G604)-LEN(SUBSTITUTE('Mediation Dataset (Sudans)'!G570:G604,A22,"")))/LEN(A22))</f>
        <v>0</v>
      </c>
      <c r="AF22" cm="1">
        <f t="array" ref="AF22">SUMPRODUCT((LEN('Mediation Dataset (Sudans)'!G605:G709)-LEN(SUBSTITUTE('Mediation Dataset (Sudans)'!G605:G709,A22,"")))/LEN(A22))</f>
        <v>1</v>
      </c>
      <c r="AG22" cm="1">
        <f t="array" ref="AG22">SUMPRODUCT((LEN('Mediation Dataset (Sudans)'!G710:G742)-LEN(SUBSTITUTE('Mediation Dataset (Sudans)'!G710:G742,A22,"")))/LEN(A22))</f>
        <v>3</v>
      </c>
      <c r="AH22" cm="1">
        <f t="array" ref="AH22">SUMPRODUCT((LEN('Mediation Dataset (Sudans)'!G743:G998)-LEN(SUBSTITUTE('Mediation Dataset (Sudans)'!G743:G998,A22,"")))/LEN(A22))</f>
        <v>13</v>
      </c>
      <c r="AI22" cm="1">
        <f t="array" ref="AI22">SUMPRODUCT((LEN('Mediation Dataset (Sudans)'!G999:G1121)-LEN(SUBSTITUTE('Mediation Dataset (Sudans)'!G999:G1121,A22,"")))/LEN(A22))</f>
        <v>7</v>
      </c>
      <c r="AJ22" cm="1">
        <f t="array" ref="AJ22">SUMPRODUCT((LEN('Mediation Dataset (Sudans)'!G1122:G1218)-LEN(SUBSTITUTE('Mediation Dataset (Sudans)'!G1122:G1218,A22,"")))/LEN(A22))</f>
        <v>0</v>
      </c>
      <c r="AK22">
        <v>0</v>
      </c>
    </row>
    <row r="53" spans="1:37">
      <c r="A53" s="7"/>
      <c r="B53">
        <v>1988</v>
      </c>
      <c r="C53">
        <v>1989</v>
      </c>
      <c r="D53">
        <v>1990</v>
      </c>
      <c r="E53">
        <v>1991</v>
      </c>
      <c r="F53">
        <v>1992</v>
      </c>
      <c r="G53">
        <v>1993</v>
      </c>
      <c r="H53">
        <v>1994</v>
      </c>
      <c r="I53">
        <v>1995</v>
      </c>
      <c r="J53">
        <v>1996</v>
      </c>
      <c r="K53">
        <v>1997</v>
      </c>
      <c r="L53">
        <v>1998</v>
      </c>
      <c r="M53">
        <v>1999</v>
      </c>
      <c r="N53">
        <v>2000</v>
      </c>
      <c r="O53">
        <v>2001</v>
      </c>
      <c r="P53">
        <v>2002</v>
      </c>
      <c r="Q53">
        <v>2003</v>
      </c>
      <c r="R53">
        <v>2004</v>
      </c>
      <c r="S53">
        <v>2005</v>
      </c>
      <c r="T53">
        <v>2006</v>
      </c>
      <c r="U53">
        <v>2007</v>
      </c>
      <c r="V53">
        <v>2008</v>
      </c>
      <c r="W53">
        <v>2009</v>
      </c>
      <c r="X53">
        <v>2010</v>
      </c>
      <c r="Y53">
        <v>2011</v>
      </c>
      <c r="Z53">
        <v>2012</v>
      </c>
      <c r="AA53">
        <v>2013</v>
      </c>
      <c r="AB53">
        <v>2014</v>
      </c>
      <c r="AC53">
        <v>2015</v>
      </c>
      <c r="AD53">
        <v>2016</v>
      </c>
      <c r="AE53">
        <v>2017</v>
      </c>
      <c r="AF53">
        <v>2018</v>
      </c>
      <c r="AG53">
        <v>2019</v>
      </c>
      <c r="AH53">
        <v>2020</v>
      </c>
      <c r="AI53">
        <v>2021</v>
      </c>
      <c r="AJ53">
        <v>2022</v>
      </c>
      <c r="AK53">
        <v>2023</v>
      </c>
    </row>
    <row r="54" spans="1:37">
      <c r="A54" s="12" t="s">
        <v>62</v>
      </c>
      <c r="B54">
        <v>0</v>
      </c>
      <c r="C54">
        <v>0</v>
      </c>
      <c r="D54">
        <v>0</v>
      </c>
      <c r="E54">
        <v>0</v>
      </c>
      <c r="F54">
        <v>0</v>
      </c>
      <c r="G54">
        <v>0</v>
      </c>
      <c r="H54">
        <v>0</v>
      </c>
      <c r="I54">
        <v>0</v>
      </c>
      <c r="J54">
        <v>0</v>
      </c>
      <c r="K54">
        <v>0</v>
      </c>
      <c r="L54">
        <v>0</v>
      </c>
      <c r="M54">
        <v>0</v>
      </c>
      <c r="N54" cm="1">
        <f t="array" ref="N54">SUMPRODUCT((LEN('Mediation Dataset (Sudans)'!G127:G142)-LEN(SUBSTITUTE('Mediation Dataset (Sudans)'!G127:G142,A54,"")))/LEN(A54))</f>
        <v>0</v>
      </c>
      <c r="O54">
        <v>0</v>
      </c>
      <c r="P54" cm="1">
        <f t="array" ref="P54">SUMPRODUCT((LEN('Mediation Dataset (Sudans)'!G145:G192)-LEN(SUBSTITUTE('Mediation Dataset (Sudans)'!G145:G192,A54,"")))/LEN(A54))</f>
        <v>0</v>
      </c>
      <c r="Q54" cm="1">
        <f t="array" ref="Q54">SUMPRODUCT((LEN('Mediation Dataset (Sudans)'!G193:G308)-LEN(SUBSTITUTE('Mediation Dataset (Sudans)'!G193:G308,A54,"")))/LEN(A54))</f>
        <v>0</v>
      </c>
      <c r="R54" cm="1">
        <f t="array" ref="R54">SUMPRODUCT((LEN('Mediation Dataset (Sudans)'!G309:G385)-LEN(SUBSTITUTE('Mediation Dataset (Sudans)'!G309:G385,A54,"")))/LEN(A54))</f>
        <v>1</v>
      </c>
      <c r="S54" cm="1">
        <f t="array" ref="S54">SUMPRODUCT((LEN('Mediation Dataset (Sudans)'!G386:G406)-LEN(SUBSTITUTE('Mediation Dataset (Sudans)'!G386:G406,A54,"")))/LEN(A54))</f>
        <v>0</v>
      </c>
      <c r="T54">
        <v>0</v>
      </c>
      <c r="U54">
        <v>0</v>
      </c>
      <c r="V54">
        <v>0</v>
      </c>
      <c r="W54">
        <v>0</v>
      </c>
      <c r="X54">
        <v>0</v>
      </c>
      <c r="Y54">
        <v>0</v>
      </c>
      <c r="Z54">
        <v>0</v>
      </c>
      <c r="AA54" cm="1">
        <f t="array" ref="AA54">SUMPRODUCT((LEN('Mediation Dataset (Sudans)'!G467:G504)-LEN(SUBSTITUTE('Mediation Dataset (Sudans)'!G467:G504,A54,"")))/LEN(A54))</f>
        <v>1</v>
      </c>
      <c r="AB54" cm="1">
        <f t="array" ref="AB54">SUMPRODUCT((LEN('Mediation Dataset (Sudans)'!G505:G521)-LEN(SUBSTITUTE('Mediation Dataset (Sudans)'!G505:G521,A54,"")))/LEN(A54))</f>
        <v>0</v>
      </c>
      <c r="AC54" cm="1">
        <f t="array" ref="AC54">SUMPRODUCT((LEN('Mediation Dataset (Sudans)'!G522:G606)-LEN(SUBSTITUTE('Mediation Dataset (Sudans)'!G522:G606,A54,"")))/LEN(A54))</f>
        <v>0</v>
      </c>
      <c r="AD54" cm="1">
        <f t="array" ref="AD54">SUMPRODUCT((LEN('Mediation Dataset (Sudans)'!G607:G620)-LEN(SUBSTITUTE('Mediation Dataset (Sudans)'!G607:G620,A54,"")))/LEN(A54))</f>
        <v>0</v>
      </c>
      <c r="AE54" cm="1">
        <f t="array" ref="AE54">SUMPRODUCT((LEN('Mediation Dataset (Sudans)'!G622:G656)-LEN(SUBSTITUTE('Mediation Dataset (Sudans)'!G622:G656,A54,"")))/LEN(A54))</f>
        <v>0</v>
      </c>
      <c r="AF54" cm="1">
        <f t="array" ref="AF54">SUMPRODUCT((LEN('Mediation Dataset (Sudans)'!G657:G761)-LEN(SUBSTITUTE('Mediation Dataset (Sudans)'!G657:G761,A54,"")))/LEN(A54))</f>
        <v>0</v>
      </c>
      <c r="AG54" cm="1">
        <f t="array" ref="AG54">SUMPRODUCT((LEN('Mediation Dataset (Sudans)'!G762:G794)-LEN(SUBSTITUTE('Mediation Dataset (Sudans)'!G762:G794,A54,"")))/LEN(A54))</f>
        <v>0</v>
      </c>
      <c r="AH54" cm="1">
        <f t="array" ref="AH54">SUMPRODUCT((LEN('Mediation Dataset (Sudans)'!G795:G1050)-LEN(SUBSTITUTE('Mediation Dataset (Sudans)'!G795:G1050,A54,"")))/LEN(A54))</f>
        <v>3</v>
      </c>
      <c r="AI54" cm="1">
        <f t="array" ref="AI54">SUMPRODUCT((LEN('Mediation Dataset (Sudans)'!G1051:G1173)-LEN(SUBSTITUTE('Mediation Dataset (Sudans)'!G1051:G1173,A54,"")))/LEN(A54))</f>
        <v>0</v>
      </c>
      <c r="AJ54" cm="1">
        <f t="array" ref="AJ54">SUMPRODUCT((LEN('Mediation Dataset (Sudans)'!G1174:G1224)-LEN(SUBSTITUTE('Mediation Dataset (Sudans)'!G1174:G1224,A54,"")))/LEN(A54))</f>
        <v>0</v>
      </c>
      <c r="AK54">
        <v>0</v>
      </c>
    </row>
    <row r="55" spans="1:37">
      <c r="A55" s="12" t="s">
        <v>249</v>
      </c>
      <c r="B55">
        <v>0</v>
      </c>
      <c r="C55">
        <v>0</v>
      </c>
      <c r="D55">
        <v>0</v>
      </c>
      <c r="E55">
        <v>0</v>
      </c>
      <c r="F55">
        <v>0</v>
      </c>
      <c r="G55">
        <v>0</v>
      </c>
      <c r="H55">
        <v>0</v>
      </c>
      <c r="I55">
        <v>0</v>
      </c>
      <c r="J55">
        <v>0</v>
      </c>
      <c r="K55">
        <v>0</v>
      </c>
      <c r="L55">
        <v>0</v>
      </c>
      <c r="M55">
        <v>0</v>
      </c>
      <c r="N55">
        <v>0</v>
      </c>
      <c r="O55">
        <v>0</v>
      </c>
      <c r="P55" cm="1">
        <f t="array" ref="P55">SUMPRODUCT((LEN('Mediation Dataset (Sudans)'!G145:G192)-LEN(SUBSTITUTE('Mediation Dataset (Sudans)'!G145:G192,A55,"")))/LEN(A55))</f>
        <v>0</v>
      </c>
      <c r="Q55" cm="1">
        <f t="array" ref="Q55">SUMPRODUCT((LEN('Mediation Dataset (Sudans)'!G193:G308)-LEN(SUBSTITUTE('Mediation Dataset (Sudans)'!G193:G308,A55,"")))/LEN(A55))</f>
        <v>0</v>
      </c>
      <c r="R55" cm="1">
        <f t="array" ref="R55">SUMPRODUCT((LEN('Mediation Dataset (Sudans)'!G309:G385)-LEN(SUBSTITUTE('Mediation Dataset (Sudans)'!G309:G385,A55,"")))/LEN(A55))</f>
        <v>0</v>
      </c>
      <c r="S55" cm="1">
        <f t="array" ref="S55">SUMPRODUCT((LEN('Mediation Dataset (Sudans)'!G386:G406)-LEN(SUBSTITUTE('Mediation Dataset (Sudans)'!G386:G406,A55,"")))/LEN(A55))</f>
        <v>0</v>
      </c>
      <c r="T55">
        <v>0</v>
      </c>
      <c r="U55">
        <v>0</v>
      </c>
      <c r="V55">
        <v>0</v>
      </c>
      <c r="W55">
        <v>0</v>
      </c>
      <c r="X55">
        <v>0</v>
      </c>
      <c r="Y55">
        <v>0</v>
      </c>
      <c r="Z55">
        <v>0</v>
      </c>
      <c r="AA55" cm="1">
        <f t="array" ref="AA55">SUMPRODUCT((LEN('Mediation Dataset (Sudans)'!G467:G504)-LEN(SUBSTITUTE('Mediation Dataset (Sudans)'!G467:G504,A55,"")))/LEN(A55))</f>
        <v>0</v>
      </c>
      <c r="AB55" cm="1">
        <f t="array" ref="AB55">SUMPRODUCT((LEN('Mediation Dataset (Sudans)'!G505:G521)-LEN(SUBSTITUTE('Mediation Dataset (Sudans)'!G505:G521,A55,"")))/LEN(A55))</f>
        <v>1</v>
      </c>
      <c r="AC55" cm="1">
        <f t="array" ref="AC55">SUMPRODUCT((LEN('Mediation Dataset (Sudans)'!G522:G606)-LEN(SUBSTITUTE('Mediation Dataset (Sudans)'!G522:G606,A55,"")))/LEN(A55))</f>
        <v>3</v>
      </c>
      <c r="AD55" cm="1">
        <f t="array" ref="AD55">SUMPRODUCT((LEN('Mediation Dataset (Sudans)'!G607:G620)-LEN(SUBSTITUTE('Mediation Dataset (Sudans)'!G607:G620,A55,"")))/LEN(A55))</f>
        <v>0</v>
      </c>
      <c r="AE55" cm="1">
        <f t="array" ref="AE55">SUMPRODUCT((LEN('Mediation Dataset (Sudans)'!G622:G656)-LEN(SUBSTITUTE('Mediation Dataset (Sudans)'!G622:G656,A55,"")))/LEN(A55))</f>
        <v>0</v>
      </c>
      <c r="AF55" cm="1">
        <f t="array" ref="AF55">SUMPRODUCT((LEN('Mediation Dataset (Sudans)'!G657:G761)-LEN(SUBSTITUTE('Mediation Dataset (Sudans)'!G657:G761,A55,"")))/LEN(A55))</f>
        <v>2</v>
      </c>
      <c r="AG55" cm="1">
        <f t="array" ref="AG55">SUMPRODUCT((LEN('Mediation Dataset (Sudans)'!G762:G794)-LEN(SUBSTITUTE('Mediation Dataset (Sudans)'!G762:G794,A55,"")))/LEN(A55))</f>
        <v>0</v>
      </c>
      <c r="AH55" cm="1">
        <f t="array" ref="AH55">SUMPRODUCT((LEN('Mediation Dataset (Sudans)'!G795:G1050)-LEN(SUBSTITUTE('Mediation Dataset (Sudans)'!G795:G1050,A55,"")))/LEN(A55))</f>
        <v>4</v>
      </c>
      <c r="AI55" cm="1">
        <f t="array" ref="AI55">SUMPRODUCT((LEN('Mediation Dataset (Sudans)'!G1051:G1173)-LEN(SUBSTITUTE('Mediation Dataset (Sudans)'!G1051:G1173,A55,"")))/LEN(A55))</f>
        <v>0</v>
      </c>
      <c r="AJ55" cm="1">
        <f t="array" ref="AJ55">SUMPRODUCT((LEN('Mediation Dataset (Sudans)'!G1174:G1224)-LEN(SUBSTITUTE('Mediation Dataset (Sudans)'!G1174:G1224,A55,"")))/LEN(A55))</f>
        <v>1</v>
      </c>
      <c r="AK55">
        <v>0</v>
      </c>
    </row>
    <row r="56" spans="1:37">
      <c r="A56" s="12" t="s">
        <v>202</v>
      </c>
      <c r="B56">
        <v>0</v>
      </c>
      <c r="C56">
        <v>0</v>
      </c>
      <c r="D56">
        <v>0</v>
      </c>
      <c r="E56">
        <v>0</v>
      </c>
      <c r="F56">
        <v>0</v>
      </c>
      <c r="G56">
        <v>0</v>
      </c>
      <c r="H56">
        <v>0</v>
      </c>
      <c r="I56">
        <v>0</v>
      </c>
      <c r="J56">
        <v>0</v>
      </c>
      <c r="K56">
        <v>0</v>
      </c>
      <c r="L56">
        <v>0</v>
      </c>
      <c r="M56">
        <v>0</v>
      </c>
      <c r="N56" cm="1">
        <f t="array" ref="N56">SUMPRODUCT((LEN('Mediation Dataset (Sudans)'!G117:G132)-LEN(SUBSTITUTE('Mediation Dataset (Sudans)'!G117:G132,A56,"")))/LEN(A56))</f>
        <v>2</v>
      </c>
      <c r="O56">
        <v>0</v>
      </c>
      <c r="P56" cm="1">
        <f t="array" ref="P56">SUMPRODUCT((LEN('Mediation Dataset (Sudans)'!G135:G182)-LEN(SUBSTITUTE('Mediation Dataset (Sudans)'!G135:G182,A56,"")))/LEN(A56))</f>
        <v>6</v>
      </c>
      <c r="Q56" cm="1">
        <f t="array" ref="Q56">SUMPRODUCT((LEN('Mediation Dataset (Sudans)'!G183:G298)-LEN(SUBSTITUTE('Mediation Dataset (Sudans)'!G183:G298,A56,"")))/LEN(A56))</f>
        <v>10</v>
      </c>
      <c r="R56" cm="1">
        <f t="array" ref="R56">SUMPRODUCT((LEN('Mediation Dataset (Sudans)'!G299:G375)-LEN(SUBSTITUTE('Mediation Dataset (Sudans)'!G299:G375,A56,"")))/LEN(A56))</f>
        <v>4</v>
      </c>
      <c r="S56" cm="1">
        <f t="array" ref="S56">SUMPRODUCT((LEN('Mediation Dataset (Sudans)'!G376:G396)-LEN(SUBSTITUTE('Mediation Dataset (Sudans)'!G376:G396,A56,"")))/LEN(A56))</f>
        <v>0</v>
      </c>
      <c r="T56">
        <v>1</v>
      </c>
      <c r="U56">
        <v>0</v>
      </c>
      <c r="V56">
        <v>0</v>
      </c>
      <c r="W56">
        <v>0</v>
      </c>
      <c r="X56">
        <v>0</v>
      </c>
      <c r="Y56">
        <v>0</v>
      </c>
      <c r="Z56">
        <v>0</v>
      </c>
      <c r="AA56" cm="1">
        <f t="array" ref="AA56">SUMPRODUCT((LEN('Mediation Dataset (Sudans)'!G457:G494)-LEN(SUBSTITUTE('Mediation Dataset (Sudans)'!G457:G494,A56,"")))/LEN(A56))</f>
        <v>0</v>
      </c>
      <c r="AB56" cm="1">
        <f t="array" ref="AB56">SUMPRODUCT((LEN('Mediation Dataset (Sudans)'!G495:G511)-LEN(SUBSTITUTE('Mediation Dataset (Sudans)'!G495:G511,A56,"")))/LEN(A56))</f>
        <v>1</v>
      </c>
      <c r="AC56" cm="1">
        <f t="array" ref="AC56">SUMPRODUCT((LEN('Mediation Dataset (Sudans)'!G512:G596)-LEN(SUBSTITUTE('Mediation Dataset (Sudans)'!G512:G596,A56,"")))/LEN(A56))</f>
        <v>2</v>
      </c>
      <c r="AD56" cm="1">
        <f t="array" ref="AD56">SUMPRODUCT((LEN('Mediation Dataset (Sudans)'!G597:G610)-LEN(SUBSTITUTE('Mediation Dataset (Sudans)'!G597:G610,A56,"")))/LEN(A56))</f>
        <v>1</v>
      </c>
      <c r="AE56" cm="1">
        <f t="array" ref="AE56">SUMPRODUCT((LEN('Mediation Dataset (Sudans)'!G612:G646)-LEN(SUBSTITUTE('Mediation Dataset (Sudans)'!G612:G646,A56,"")))/LEN(A56))</f>
        <v>4</v>
      </c>
      <c r="AF56" cm="1">
        <f t="array" ref="AF56">SUMPRODUCT((LEN('Mediation Dataset (Sudans)'!G647:G751)-LEN(SUBSTITUTE('Mediation Dataset (Sudans)'!G647:G751,A56,"")))/LEN(A56))</f>
        <v>6</v>
      </c>
      <c r="AG56" cm="1">
        <f t="array" ref="AG56">SUMPRODUCT((LEN('Mediation Dataset (Sudans)'!G752:G784)-LEN(SUBSTITUTE('Mediation Dataset (Sudans)'!G752:G784,A56,"")))/LEN(A56))</f>
        <v>1</v>
      </c>
      <c r="AH56" cm="1">
        <f t="array" ref="AH56">SUMPRODUCT((LEN('Mediation Dataset (Sudans)'!G785:G1040)-LEN(SUBSTITUTE('Mediation Dataset (Sudans)'!G785:G1040,A56,"")))/LEN(A56))</f>
        <v>9</v>
      </c>
      <c r="AI56" cm="1">
        <f t="array" ref="AI56">SUMPRODUCT((LEN('Mediation Dataset (Sudans)'!G1041:G1163)-LEN(SUBSTITUTE('Mediation Dataset (Sudans)'!G1041:G1163,A56,"")))/LEN(A56))</f>
        <v>4</v>
      </c>
      <c r="AJ56" cm="1">
        <f t="array" ref="AJ56">SUMPRODUCT((LEN('Mediation Dataset (Sudans)'!G1164:G1224)-LEN(SUBSTITUTE('Mediation Dataset (Sudans)'!G1164:G1224,A56,"")))/LEN(A56))</f>
        <v>3</v>
      </c>
      <c r="AK56">
        <v>0</v>
      </c>
    </row>
    <row r="57" spans="1:37">
      <c r="A57" s="12" t="s">
        <v>193</v>
      </c>
      <c r="B57">
        <v>0</v>
      </c>
      <c r="C57">
        <v>0</v>
      </c>
      <c r="D57">
        <v>1</v>
      </c>
      <c r="E57">
        <v>0</v>
      </c>
      <c r="F57">
        <v>0</v>
      </c>
      <c r="G57">
        <v>0</v>
      </c>
      <c r="H57">
        <v>0</v>
      </c>
      <c r="I57">
        <v>0</v>
      </c>
      <c r="J57">
        <v>0</v>
      </c>
      <c r="K57">
        <v>0</v>
      </c>
      <c r="L57">
        <v>0</v>
      </c>
      <c r="M57">
        <v>0</v>
      </c>
      <c r="N57" cm="1">
        <f t="array" ref="N57">SUMPRODUCT((LEN('Mediation Dataset (Sudans)'!G117:G132)-LEN(SUBSTITUTE('Mediation Dataset (Sudans)'!G117:G132,A57,"")))/LEN(A57))</f>
        <v>1</v>
      </c>
      <c r="O57">
        <v>1</v>
      </c>
      <c r="P57" cm="1">
        <f t="array" ref="P57">SUMPRODUCT((LEN('Mediation Dataset (Sudans)'!G135:G182)-LEN(SUBSTITUTE('Mediation Dataset (Sudans)'!G135:G182,A57,"")))/LEN(A57))</f>
        <v>6</v>
      </c>
      <c r="Q57" cm="1">
        <f t="array" ref="Q57">SUMPRODUCT((LEN('Mediation Dataset (Sudans)'!G183:G298)-LEN(SUBSTITUTE('Mediation Dataset (Sudans)'!G183:G298,A57,"")))/LEN(A57))</f>
        <v>14</v>
      </c>
      <c r="R57" cm="1">
        <f t="array" ref="R57">SUMPRODUCT((LEN('Mediation Dataset (Sudans)'!G299:G375)-LEN(SUBSTITUTE('Mediation Dataset (Sudans)'!G299:G375,A57,"")))/LEN(A57))</f>
        <v>5</v>
      </c>
      <c r="S57" cm="1">
        <f t="array" ref="S57">SUMPRODUCT((LEN('Mediation Dataset (Sudans)'!G376:G396)-LEN(SUBSTITUTE('Mediation Dataset (Sudans)'!G376:G396,A57,"")))/LEN(A57))</f>
        <v>0</v>
      </c>
      <c r="T57">
        <v>2</v>
      </c>
      <c r="U57">
        <v>0</v>
      </c>
      <c r="V57">
        <v>0</v>
      </c>
      <c r="W57">
        <v>0</v>
      </c>
      <c r="X57">
        <v>0</v>
      </c>
      <c r="Y57">
        <v>0</v>
      </c>
      <c r="Z57">
        <v>0</v>
      </c>
      <c r="AA57" cm="1">
        <f t="array" ref="AA57">SUMPRODUCT((LEN('Mediation Dataset (Sudans)'!G457:G494)-LEN(SUBSTITUTE('Mediation Dataset (Sudans)'!G457:G494,A57,"")))/LEN(A57))</f>
        <v>0</v>
      </c>
      <c r="AB57" cm="1">
        <f t="array" ref="AB57">SUMPRODUCT((LEN('Mediation Dataset (Sudans)'!G495:G511)-LEN(SUBSTITUTE('Mediation Dataset (Sudans)'!G495:G511,A57,"")))/LEN(A57))</f>
        <v>1</v>
      </c>
      <c r="AC57" cm="1">
        <f t="array" ref="AC57">SUMPRODUCT((LEN('Mediation Dataset (Sudans)'!G512:G596)-LEN(SUBSTITUTE('Mediation Dataset (Sudans)'!G512:G596,A57,"")))/LEN(A57))</f>
        <v>5</v>
      </c>
      <c r="AD57" cm="1">
        <f t="array" ref="AD57">SUMPRODUCT((LEN('Mediation Dataset (Sudans)'!G597:G610)-LEN(SUBSTITUTE('Mediation Dataset (Sudans)'!G597:G610,A57,"")))/LEN(A57))</f>
        <v>1</v>
      </c>
      <c r="AE57" cm="1">
        <f t="array" ref="AE57">SUMPRODUCT((LEN('Mediation Dataset (Sudans)'!G612:G646)-LEN(SUBSTITUTE('Mediation Dataset (Sudans)'!G612:G646,A57,"")))/LEN(A57))</f>
        <v>4</v>
      </c>
      <c r="AF57" cm="1">
        <f t="array" ref="AF57">SUMPRODUCT((LEN('Mediation Dataset (Sudans)'!G647:G751)-LEN(SUBSTITUTE('Mediation Dataset (Sudans)'!G647:G751,A57,"")))/LEN(A57))</f>
        <v>5</v>
      </c>
      <c r="AG57" cm="1">
        <f t="array" ref="AG57">SUMPRODUCT((LEN('Mediation Dataset (Sudans)'!G752:G784)-LEN(SUBSTITUTE('Mediation Dataset (Sudans)'!G752:G784,A57,"")))/LEN(A57))</f>
        <v>1</v>
      </c>
      <c r="AH57" cm="1">
        <f t="array" ref="AH57">SUMPRODUCT((LEN('Mediation Dataset (Sudans)'!G785:G1040)-LEN(SUBSTITUTE('Mediation Dataset (Sudans)'!G785:G1040,A57,"")))/LEN(A57))</f>
        <v>10</v>
      </c>
      <c r="AI57" cm="1">
        <f t="array" ref="AI57">SUMPRODUCT((LEN('Mediation Dataset (Sudans)'!G1041:G1163)-LEN(SUBSTITUTE('Mediation Dataset (Sudans)'!G1041:G1163,A57,"")))/LEN(A57))</f>
        <v>4</v>
      </c>
      <c r="AJ57" cm="1">
        <f t="array" ref="AJ57">SUMPRODUCT((LEN('Mediation Dataset (Sudans)'!G1164:G1224)-LEN(SUBSTITUTE('Mediation Dataset (Sudans)'!G1164:G1224,A57,"")))/LEN(A57))</f>
        <v>3</v>
      </c>
      <c r="AK57">
        <v>0</v>
      </c>
    </row>
    <row r="88" spans="1:37">
      <c r="A88" s="7"/>
      <c r="B88">
        <v>1988</v>
      </c>
      <c r="C88">
        <v>1989</v>
      </c>
      <c r="D88">
        <v>1990</v>
      </c>
      <c r="E88">
        <v>1991</v>
      </c>
      <c r="F88">
        <v>1992</v>
      </c>
      <c r="G88">
        <v>1993</v>
      </c>
      <c r="H88">
        <v>1994</v>
      </c>
      <c r="I88">
        <v>1995</v>
      </c>
      <c r="J88">
        <v>1996</v>
      </c>
      <c r="K88">
        <v>1997</v>
      </c>
      <c r="L88">
        <v>1998</v>
      </c>
      <c r="M88">
        <v>1999</v>
      </c>
      <c r="N88">
        <v>2000</v>
      </c>
      <c r="O88">
        <v>2001</v>
      </c>
      <c r="P88">
        <v>2002</v>
      </c>
      <c r="Q88">
        <v>2003</v>
      </c>
      <c r="R88">
        <v>2004</v>
      </c>
      <c r="S88">
        <v>2005</v>
      </c>
      <c r="T88">
        <v>2006</v>
      </c>
      <c r="U88">
        <v>2007</v>
      </c>
      <c r="V88">
        <v>2008</v>
      </c>
      <c r="W88">
        <v>2009</v>
      </c>
      <c r="X88">
        <v>2010</v>
      </c>
      <c r="Y88">
        <v>2011</v>
      </c>
      <c r="Z88">
        <v>2012</v>
      </c>
      <c r="AA88">
        <v>2013</v>
      </c>
      <c r="AB88">
        <v>2014</v>
      </c>
      <c r="AC88">
        <v>2015</v>
      </c>
      <c r="AD88">
        <v>2016</v>
      </c>
      <c r="AE88">
        <v>2017</v>
      </c>
      <c r="AF88">
        <v>2018</v>
      </c>
      <c r="AG88">
        <v>2019</v>
      </c>
      <c r="AH88">
        <v>2020</v>
      </c>
      <c r="AI88">
        <v>2021</v>
      </c>
      <c r="AJ88">
        <v>2022</v>
      </c>
      <c r="AK88">
        <v>2023</v>
      </c>
    </row>
    <row r="89" spans="1:37">
      <c r="A89" s="12" t="s">
        <v>37</v>
      </c>
      <c r="B89">
        <v>0</v>
      </c>
      <c r="C89">
        <v>2</v>
      </c>
      <c r="D89">
        <v>0</v>
      </c>
      <c r="E89">
        <v>0</v>
      </c>
      <c r="F89">
        <v>0</v>
      </c>
      <c r="G89">
        <v>0</v>
      </c>
      <c r="H89">
        <v>0</v>
      </c>
      <c r="I89">
        <v>0</v>
      </c>
      <c r="J89">
        <v>1</v>
      </c>
      <c r="K89">
        <v>0</v>
      </c>
      <c r="L89">
        <v>0</v>
      </c>
      <c r="M89">
        <v>0</v>
      </c>
      <c r="N89" cm="1">
        <f t="array" ref="N89">SUMPRODUCT((LEN('Mediation Dataset (Sudans)'!G137:G152)-LEN(SUBSTITUTE('Mediation Dataset (Sudans)'!G137:G152,A89,"")))/LEN(A89))</f>
        <v>0</v>
      </c>
      <c r="O89">
        <v>0</v>
      </c>
      <c r="P89" cm="1">
        <f t="array" ref="P89">SUMPRODUCT((LEN('Mediation Dataset (Sudans)'!G155:G202)-LEN(SUBSTITUTE('Mediation Dataset (Sudans)'!G155:G202,A89,"")))/LEN(A89))</f>
        <v>0</v>
      </c>
      <c r="Q89" cm="1">
        <f t="array" ref="Q89">SUMPRODUCT((LEN('Mediation Dataset (Sudans)'!G203:G318)-LEN(SUBSTITUTE('Mediation Dataset (Sudans)'!G203:G318,A89,"")))/LEN(A89))</f>
        <v>1</v>
      </c>
      <c r="R89" cm="1">
        <f t="array" ref="R89">SUMPRODUCT((LEN('Mediation Dataset (Sudans)'!G319:G395)-LEN(SUBSTITUTE('Mediation Dataset (Sudans)'!G319:G395,A89,"")))/LEN(A89))</f>
        <v>7</v>
      </c>
      <c r="S89" cm="1">
        <f t="array" ref="S89">SUMPRODUCT((LEN('Mediation Dataset (Sudans)'!G396:G416)-LEN(SUBSTITUTE('Mediation Dataset (Sudans)'!G396:G416,A89,"")))/LEN(A89))</f>
        <v>4</v>
      </c>
      <c r="T89">
        <v>1</v>
      </c>
      <c r="U89">
        <v>0</v>
      </c>
      <c r="V89">
        <v>2</v>
      </c>
      <c r="W89">
        <v>1</v>
      </c>
      <c r="X89">
        <v>0</v>
      </c>
      <c r="Y89">
        <v>0</v>
      </c>
      <c r="Z89" cm="1">
        <f t="array" ref="Z89">SUMPRODUCT((LEN('Mediation Dataset (Sudans)'!G456:G476)-LEN(SUBSTITUTE('Mediation Dataset (Sudans)'!G456:G476,A89,"")))/LEN(A89))</f>
        <v>2</v>
      </c>
      <c r="AA89" cm="1">
        <f t="array" ref="AA89">SUMPRODUCT((LEN('Mediation Dataset (Sudans)'!G477:G514)-LEN(SUBSTITUTE('Mediation Dataset (Sudans)'!G477:G514,A89,"")))/LEN(A89))</f>
        <v>1</v>
      </c>
      <c r="AB89" cm="1">
        <f t="array" ref="AB89">SUMPRODUCT((LEN('Mediation Dataset (Sudans)'!G515:G531)-LEN(SUBSTITUTE('Mediation Dataset (Sudans)'!G515:G531,A89,"")))/LEN(A89))</f>
        <v>1</v>
      </c>
      <c r="AC89" cm="1">
        <f t="array" ref="AC89">SUMPRODUCT((LEN('Mediation Dataset (Sudans)'!G532:G616)-LEN(SUBSTITUTE('Mediation Dataset (Sudans)'!G532:G616,A89,"")))/LEN(A89))</f>
        <v>2</v>
      </c>
      <c r="AD89" cm="1">
        <f t="array" ref="AD89">SUMPRODUCT((LEN('Mediation Dataset (Sudans)'!G617:G630)-LEN(SUBSTITUTE('Mediation Dataset (Sudans)'!G617:G630,A89,"")))/LEN(A89))</f>
        <v>2</v>
      </c>
      <c r="AE89" cm="1">
        <f t="array" ref="AE89">SUMPRODUCT((LEN('Mediation Dataset (Sudans)'!G632:G666)-LEN(SUBSTITUTE('Mediation Dataset (Sudans)'!G632:G666,A89,"")))/LEN(A89))</f>
        <v>0</v>
      </c>
      <c r="AF89" cm="1">
        <f t="array" ref="AF89">SUMPRODUCT((LEN('Mediation Dataset (Sudans)'!G667:G771)-LEN(SUBSTITUTE('Mediation Dataset (Sudans)'!G667:G771,A89,"")))/LEN(A89))</f>
        <v>13</v>
      </c>
      <c r="AG89" cm="1">
        <f t="array" ref="AG89">SUMPRODUCT((LEN('Mediation Dataset (Sudans)'!G772:G804)-LEN(SUBSTITUTE('Mediation Dataset (Sudans)'!G772:G804,A89,"")))/LEN(A89))</f>
        <v>4</v>
      </c>
      <c r="AH89" cm="1">
        <f t="array" ref="AH89">SUMPRODUCT((LEN('Mediation Dataset (Sudans)'!G805:G1060)-LEN(SUBSTITUTE('Mediation Dataset (Sudans)'!G805:G1060,A89,"")))/LEN(A89))</f>
        <v>35</v>
      </c>
      <c r="AI89" cm="1">
        <f t="array" ref="AI89">SUMPRODUCT((LEN('Mediation Dataset (Sudans)'!G1061:G1183)-LEN(SUBSTITUTE('Mediation Dataset (Sudans)'!G1061:G1183,A89,"")))/LEN(A89))</f>
        <v>38</v>
      </c>
      <c r="AJ89" cm="1">
        <f t="array" ref="AJ89">SUMPRODUCT((LEN('Mediation Dataset (Sudans)'!G1184:G1224)-LEN(SUBSTITUTE('Mediation Dataset (Sudans)'!G1184:G1224,A89,"")))/LEN(A89))</f>
        <v>14</v>
      </c>
      <c r="AK89">
        <v>3</v>
      </c>
    </row>
    <row r="90" spans="1:37">
      <c r="A90" s="12" t="s">
        <v>161</v>
      </c>
      <c r="B90">
        <v>0</v>
      </c>
      <c r="C90">
        <v>0</v>
      </c>
      <c r="D90">
        <v>0</v>
      </c>
      <c r="E90">
        <v>0</v>
      </c>
      <c r="F90">
        <v>0</v>
      </c>
      <c r="G90">
        <v>0</v>
      </c>
      <c r="H90">
        <v>0</v>
      </c>
      <c r="I90">
        <v>0</v>
      </c>
      <c r="J90">
        <v>0</v>
      </c>
      <c r="K90">
        <v>0</v>
      </c>
      <c r="L90">
        <v>0</v>
      </c>
      <c r="M90">
        <v>0</v>
      </c>
      <c r="N90" cm="1">
        <f t="array" ref="N90">SUMPRODUCT((LEN('Mediation Dataset (Sudans)'!G137:G152)-LEN(SUBSTITUTE('Mediation Dataset (Sudans)'!G137:G152,A90,"")))/LEN(A90))</f>
        <v>0</v>
      </c>
      <c r="O90">
        <v>0</v>
      </c>
      <c r="P90" cm="1">
        <f t="array" ref="P90">SUMPRODUCT((LEN('Mediation Dataset (Sudans)'!G155:G202)-LEN(SUBSTITUTE('Mediation Dataset (Sudans)'!G155:G202,A90,"")))/LEN(A90))</f>
        <v>0</v>
      </c>
      <c r="Q90" cm="1">
        <f t="array" ref="Q90">SUMPRODUCT((LEN('Mediation Dataset (Sudans)'!G203:G318)-LEN(SUBSTITUTE('Mediation Dataset (Sudans)'!G203:G318,A90,"")))/LEN(A90))</f>
        <v>3</v>
      </c>
      <c r="R90" cm="1">
        <f t="array" ref="R90">SUMPRODUCT((LEN('Mediation Dataset (Sudans)'!G319:G395)-LEN(SUBSTITUTE('Mediation Dataset (Sudans)'!G319:G395,A90,"")))/LEN(A90))</f>
        <v>4</v>
      </c>
      <c r="S90" cm="1">
        <f t="array" ref="S90">SUMPRODUCT((LEN('Mediation Dataset (Sudans)'!G396:G416)-LEN(SUBSTITUTE('Mediation Dataset (Sudans)'!G396:G416,A90,"")))/LEN(A90))</f>
        <v>0</v>
      </c>
      <c r="T90">
        <v>2</v>
      </c>
      <c r="U90">
        <v>0</v>
      </c>
      <c r="V90">
        <v>0</v>
      </c>
      <c r="W90">
        <v>0</v>
      </c>
      <c r="X90">
        <v>0</v>
      </c>
      <c r="Y90">
        <v>0</v>
      </c>
      <c r="Z90">
        <v>0</v>
      </c>
      <c r="AA90" cm="1">
        <f t="array" ref="AA90">SUMPRODUCT((LEN('Mediation Dataset (Sudans)'!G477:G514)-LEN(SUBSTITUTE('Mediation Dataset (Sudans)'!G477:G514,A90,"")))/LEN(A90))</f>
        <v>1</v>
      </c>
      <c r="AB90" cm="1">
        <f t="array" ref="AB90">SUMPRODUCT((LEN('Mediation Dataset (Sudans)'!G515:G531)-LEN(SUBSTITUTE('Mediation Dataset (Sudans)'!G515:G531,A90,"")))/LEN(A90))</f>
        <v>1</v>
      </c>
      <c r="AC90" cm="1">
        <f t="array" ref="AC90">SUMPRODUCT((LEN('Mediation Dataset (Sudans)'!G532:G616)-LEN(SUBSTITUTE('Mediation Dataset (Sudans)'!G532:G616,A90,"")))/LEN(A90))</f>
        <v>2</v>
      </c>
      <c r="AD90" cm="1">
        <f t="array" ref="AD90">SUMPRODUCT((LEN('Mediation Dataset (Sudans)'!G617:G630)-LEN(SUBSTITUTE('Mediation Dataset (Sudans)'!G617:G630,A90,"")))/LEN(A90))</f>
        <v>0</v>
      </c>
      <c r="AE90" cm="1">
        <f t="array" ref="AE90">SUMPRODUCT((LEN('Mediation Dataset (Sudans)'!G632:G666)-LEN(SUBSTITUTE('Mediation Dataset (Sudans)'!G632:G666,A90,"")))/LEN(A90))</f>
        <v>0</v>
      </c>
      <c r="AF90" cm="1">
        <f t="array" ref="AF90">SUMPRODUCT((LEN('Mediation Dataset (Sudans)'!G667:G771)-LEN(SUBSTITUTE('Mediation Dataset (Sudans)'!G667:G771,A90,"")))/LEN(A90))</f>
        <v>3</v>
      </c>
      <c r="AG90" cm="1">
        <f t="array" ref="AG90">SUMPRODUCT((LEN('Mediation Dataset (Sudans)'!G772:G804)-LEN(SUBSTITUTE('Mediation Dataset (Sudans)'!G772:G804,A90,"")))/LEN(A90))</f>
        <v>3</v>
      </c>
      <c r="AH90" cm="1">
        <f t="array" ref="AH90">SUMPRODUCT((LEN('Mediation Dataset (Sudans)'!G805:G1060)-LEN(SUBSTITUTE('Mediation Dataset (Sudans)'!G805:G1060,A90,"")))/LEN(A90))</f>
        <v>8</v>
      </c>
      <c r="AI90" cm="1">
        <f t="array" ref="AI90">SUMPRODUCT((LEN('Mediation Dataset (Sudans)'!G1061:G1183)-LEN(SUBSTITUTE('Mediation Dataset (Sudans)'!G1061:G1183,A90,"")))/LEN(A90))</f>
        <v>3</v>
      </c>
      <c r="AJ90" cm="1">
        <f t="array" ref="AJ90">SUMPRODUCT((LEN('Mediation Dataset (Sudans)'!G1184:G1224)-LEN(SUBSTITUTE('Mediation Dataset (Sudans)'!G1184:G1224,A90,"")))/LEN(A90))</f>
        <v>1</v>
      </c>
      <c r="AK90">
        <v>0</v>
      </c>
    </row>
    <row r="91" spans="1:37">
      <c r="A91" s="12" t="s">
        <v>35</v>
      </c>
      <c r="B91">
        <v>0</v>
      </c>
      <c r="C91">
        <v>0</v>
      </c>
      <c r="D91">
        <v>0</v>
      </c>
      <c r="E91">
        <v>0</v>
      </c>
      <c r="F91">
        <v>0</v>
      </c>
      <c r="G91">
        <v>2</v>
      </c>
      <c r="H91" cm="1">
        <f t="array" ref="H91">SUMPRODUCT((LEN('Mediation Dataset (Sudans)'!G88:G117)-LEN(SUBSTITUTE('Mediation Dataset (Sudans)'!G88:G117,A91,"")))/LEN(A91))</f>
        <v>4</v>
      </c>
      <c r="I91">
        <v>0</v>
      </c>
      <c r="J91">
        <v>0</v>
      </c>
      <c r="K91" cm="1">
        <f t="array" ref="K91">SUMPRODUCT((LEN('Mediation Dataset (Sudans)'!G123:G133)-LEN(SUBSTITUTE('Mediation Dataset (Sudans)'!G123:G133,A91,"")))/LEN(A91))</f>
        <v>1</v>
      </c>
      <c r="L91">
        <v>2</v>
      </c>
      <c r="M91">
        <v>1</v>
      </c>
      <c r="N91" cm="1">
        <f t="array" ref="N91">SUMPRODUCT((LEN('Mediation Dataset (Sudans)'!G150:G165)-LEN(SUBSTITUTE('Mediation Dataset (Sudans)'!G150:G165,A91,"")))/LEN(A91))</f>
        <v>2</v>
      </c>
      <c r="O91">
        <v>0</v>
      </c>
      <c r="P91" cm="1">
        <f t="array" ref="P91">SUMPRODUCT((LEN('Mediation Dataset (Sudans)'!G168:G215)-LEN(SUBSTITUTE('Mediation Dataset (Sudans)'!G168:G215,A91,"")))/LEN(A91))</f>
        <v>6</v>
      </c>
      <c r="Q91" cm="1">
        <f t="array" ref="Q91">SUMPRODUCT((LEN('Mediation Dataset (Sudans)'!G216:G331)-LEN(SUBSTITUTE('Mediation Dataset (Sudans)'!G216:G331,A91,"")))/LEN(A91))</f>
        <v>8</v>
      </c>
      <c r="R91" cm="1">
        <f t="array" ref="R91">SUMPRODUCT((LEN('Mediation Dataset (Sudans)'!G332:G408)-LEN(SUBSTITUTE('Mediation Dataset (Sudans)'!G332:G408,A91,"")))/LEN(A91))</f>
        <v>2</v>
      </c>
      <c r="S91" cm="1">
        <f t="array" ref="S91">SUMPRODUCT((LEN('Mediation Dataset (Sudans)'!G409:G429)-LEN(SUBSTITUTE('Mediation Dataset (Sudans)'!G409:G429,A91,"")))/LEN(A91))</f>
        <v>0</v>
      </c>
      <c r="T91">
        <v>0</v>
      </c>
      <c r="U91">
        <v>0</v>
      </c>
      <c r="V91">
        <v>0</v>
      </c>
      <c r="W91">
        <v>0</v>
      </c>
      <c r="X91">
        <v>0</v>
      </c>
      <c r="Y91">
        <v>0</v>
      </c>
      <c r="Z91">
        <v>1</v>
      </c>
      <c r="AA91" cm="1">
        <f t="array" ref="AA91">SUMPRODUCT((LEN('Mediation Dataset (Sudans)'!G490:G527)-LEN(SUBSTITUTE('Mediation Dataset (Sudans)'!G490:G527,A91,"")))/LEN(A91))</f>
        <v>4</v>
      </c>
      <c r="AB91" cm="1">
        <f t="array" ref="AB91">SUMPRODUCT((LEN('Mediation Dataset (Sudans)'!G528:G544)-LEN(SUBSTITUTE('Mediation Dataset (Sudans)'!G528:G544,A91,"")))/LEN(A91))</f>
        <v>1</v>
      </c>
      <c r="AC91" cm="1">
        <f t="array" ref="AC91">SUMPRODUCT((LEN('Mediation Dataset (Sudans)'!G545:G629)-LEN(SUBSTITUTE('Mediation Dataset (Sudans)'!G545:G629,A91,"")))/LEN(A91))</f>
        <v>4</v>
      </c>
      <c r="AD91" cm="1">
        <f t="array" ref="AD91">SUMPRODUCT((LEN('Mediation Dataset (Sudans)'!G630:G643)-LEN(SUBSTITUTE('Mediation Dataset (Sudans)'!G630:G643,A91,"")))/LEN(A91))</f>
        <v>2</v>
      </c>
      <c r="AE91" cm="1">
        <f t="array" ref="AE91">SUMPRODUCT((LEN('Mediation Dataset (Sudans)'!G645:G679)-LEN(SUBSTITUTE('Mediation Dataset (Sudans)'!G645:G679,A91,"")))/LEN(A91))</f>
        <v>6</v>
      </c>
      <c r="AF91" cm="1">
        <f t="array" ref="AF91">SUMPRODUCT((LEN('Mediation Dataset (Sudans)'!G680:G784)-LEN(SUBSTITUTE('Mediation Dataset (Sudans)'!G680:G784,A91,"")))/LEN(A91))</f>
        <v>4</v>
      </c>
      <c r="AG91" cm="1">
        <f t="array" ref="AG91">SUMPRODUCT((LEN('Mediation Dataset (Sudans)'!G785:G817)-LEN(SUBSTITUTE('Mediation Dataset (Sudans)'!G785:G817,A91,"")))/LEN(A91))</f>
        <v>0</v>
      </c>
      <c r="AH91" cm="1">
        <f t="array" ref="AH91">SUMPRODUCT((LEN('Mediation Dataset (Sudans)'!G818:G1073)-LEN(SUBSTITUTE('Mediation Dataset (Sudans)'!G818:G1073,A91,"")))/LEN(A91))</f>
        <v>14</v>
      </c>
      <c r="AI91" cm="1">
        <f t="array" ref="AI91">SUMPRODUCT((LEN('Mediation Dataset (Sudans)'!G1074:G1196)-LEN(SUBSTITUTE('Mediation Dataset (Sudans)'!G1074:G1196,A91,"")))/LEN(A91))</f>
        <v>15</v>
      </c>
      <c r="AJ91" cm="1">
        <f t="array" ref="AJ91">SUMPRODUCT((LEN('Mediation Dataset (Sudans)'!G1197:G1224)-LEN(SUBSTITUTE('Mediation Dataset (Sudans)'!G1197:G1224,A91,"")))/LEN(A91))</f>
        <v>5</v>
      </c>
      <c r="AK91">
        <v>1</v>
      </c>
    </row>
    <row r="92" spans="1:37">
      <c r="A92" s="12" t="s">
        <v>26</v>
      </c>
      <c r="B92">
        <v>0</v>
      </c>
      <c r="C92">
        <v>0</v>
      </c>
      <c r="D92">
        <v>0</v>
      </c>
      <c r="E92">
        <v>1</v>
      </c>
      <c r="F92">
        <v>1</v>
      </c>
      <c r="G92">
        <v>0</v>
      </c>
      <c r="H92">
        <v>0</v>
      </c>
      <c r="I92">
        <v>0</v>
      </c>
      <c r="J92">
        <v>0</v>
      </c>
      <c r="K92">
        <v>0</v>
      </c>
      <c r="L92">
        <v>0</v>
      </c>
      <c r="M92">
        <v>0</v>
      </c>
      <c r="N92" cm="1">
        <f t="array" ref="N92">SUMPRODUCT((LEN('Mediation Dataset (Sudans)'!G150:G165)-LEN(SUBSTITUTE('Mediation Dataset (Sudans)'!G150:G165,A92,"")))/LEN(A92))</f>
        <v>0</v>
      </c>
      <c r="O92">
        <v>0</v>
      </c>
      <c r="P92" cm="1">
        <f t="array" ref="P92">SUMPRODUCT((LEN('Mediation Dataset (Sudans)'!G168:G215)-LEN(SUBSTITUTE('Mediation Dataset (Sudans)'!G168:G215,A92,"")))/LEN(A92))</f>
        <v>0</v>
      </c>
      <c r="Q92" cm="1">
        <f t="array" ref="Q92">SUMPRODUCT((LEN('Mediation Dataset (Sudans)'!G216:G331)-LEN(SUBSTITUTE('Mediation Dataset (Sudans)'!G216:G331,A92,"")))/LEN(A92))</f>
        <v>7</v>
      </c>
      <c r="R92" cm="1">
        <f t="array" ref="R92">SUMPRODUCT((LEN('Mediation Dataset (Sudans)'!G332:G408)-LEN(SUBSTITUTE('Mediation Dataset (Sudans)'!G332:G408,A92,"")))/LEN(A92))</f>
        <v>33</v>
      </c>
      <c r="S92" cm="1">
        <f t="array" ref="S92">SUMPRODUCT((LEN('Mediation Dataset (Sudans)'!G409:G429)-LEN(SUBSTITUTE('Mediation Dataset (Sudans)'!G409:G429,A92,"")))/LEN(A92))</f>
        <v>12</v>
      </c>
      <c r="T92">
        <v>1</v>
      </c>
      <c r="U92">
        <v>0</v>
      </c>
      <c r="V92">
        <v>0</v>
      </c>
      <c r="W92">
        <v>1</v>
      </c>
      <c r="X92">
        <v>3</v>
      </c>
      <c r="Y92">
        <v>11</v>
      </c>
      <c r="Z92" cm="1">
        <f t="array" ref="Z92">SUMPRODUCT((LEN('Mediation Dataset (Sudans)'!G469:G489)-LEN(SUBSTITUTE('Mediation Dataset (Sudans)'!G469:G489,A92,"")))/LEN(A92))</f>
        <v>3</v>
      </c>
      <c r="AA92" cm="1">
        <f t="array" ref="AA92">SUMPRODUCT((LEN('Mediation Dataset (Sudans)'!G490:G527)-LEN(SUBSTITUTE('Mediation Dataset (Sudans)'!G490:G527,A92,"")))/LEN(A92))</f>
        <v>1</v>
      </c>
      <c r="AB92" cm="1">
        <f t="array" ref="AB92">SUMPRODUCT((LEN('Mediation Dataset (Sudans)'!G528:G544)-LEN(SUBSTITUTE('Mediation Dataset (Sudans)'!G528:G544,A92,"")))/LEN(A92))</f>
        <v>0</v>
      </c>
      <c r="AC92" cm="1">
        <f t="array" ref="AC92">SUMPRODUCT((LEN('Mediation Dataset (Sudans)'!G545:G629)-LEN(SUBSTITUTE('Mediation Dataset (Sudans)'!G545:G629,A92,"")))/LEN(A92))</f>
        <v>13</v>
      </c>
      <c r="AD92" cm="1">
        <f t="array" ref="AD92">SUMPRODUCT((LEN('Mediation Dataset (Sudans)'!G630:G643)-LEN(SUBSTITUTE('Mediation Dataset (Sudans)'!G630:G643,A92,"")))/LEN(A92))</f>
        <v>0</v>
      </c>
      <c r="AE92" cm="1">
        <f t="array" ref="AE92">SUMPRODUCT((LEN('Mediation Dataset (Sudans)'!G645:G679)-LEN(SUBSTITUTE('Mediation Dataset (Sudans)'!G645:G679,A92,"")))/LEN(A92))</f>
        <v>0</v>
      </c>
      <c r="AF92" cm="1">
        <f t="array" ref="AF92">SUMPRODUCT((LEN('Mediation Dataset (Sudans)'!G680:G784)-LEN(SUBSTITUTE('Mediation Dataset (Sudans)'!G680:G784,A92,"")))/LEN(A92))</f>
        <v>1</v>
      </c>
      <c r="AG92" cm="1">
        <f t="array" ref="AG92">SUMPRODUCT((LEN('Mediation Dataset (Sudans)'!G785:G817)-LEN(SUBSTITUTE('Mediation Dataset (Sudans)'!G785:G817,A92,"")))/LEN(A92))</f>
        <v>1</v>
      </c>
      <c r="AH92" cm="1">
        <f t="array" ref="AH92">SUMPRODUCT((LEN('Mediation Dataset (Sudans)'!G818:G1073)-LEN(SUBSTITUTE('Mediation Dataset (Sudans)'!G818:G1073,A92,"")))/LEN(A92))</f>
        <v>12</v>
      </c>
      <c r="AI92" cm="1">
        <f t="array" ref="AI92">SUMPRODUCT((LEN('Mediation Dataset (Sudans)'!G1074:G1196)-LEN(SUBSTITUTE('Mediation Dataset (Sudans)'!G1074:G1196,A92,"")))/LEN(A92))</f>
        <v>11</v>
      </c>
      <c r="AJ92" cm="1">
        <f t="array" ref="AJ92">SUMPRODUCT((LEN('Mediation Dataset (Sudans)'!G1197:G1224)-LEN(SUBSTITUTE('Mediation Dataset (Sudans)'!G1197:G1224,A92,"")))/LEN(A92))</f>
        <v>3</v>
      </c>
      <c r="AK92">
        <v>0</v>
      </c>
    </row>
    <row r="125" spans="1:22">
      <c r="B125" s="6" t="s">
        <v>8</v>
      </c>
      <c r="C125" s="6" t="s">
        <v>9</v>
      </c>
      <c r="D125" s="6" t="s">
        <v>10</v>
      </c>
      <c r="E125" s="6" t="s">
        <v>307</v>
      </c>
      <c r="F125" s="6" t="s">
        <v>11</v>
      </c>
      <c r="G125" s="6" t="s">
        <v>12</v>
      </c>
      <c r="H125" s="6" t="s">
        <v>13</v>
      </c>
      <c r="I125" s="6" t="s">
        <v>14</v>
      </c>
      <c r="L125" s="6" t="s">
        <v>1179</v>
      </c>
      <c r="M125" s="6" t="s">
        <v>1227</v>
      </c>
      <c r="N125" s="7"/>
      <c r="O125" s="7"/>
      <c r="S125" s="6" t="s">
        <v>1179</v>
      </c>
      <c r="T125" s="6" t="s">
        <v>1176</v>
      </c>
      <c r="U125" s="6" t="s">
        <v>1177</v>
      </c>
      <c r="V125" s="6" t="s">
        <v>1178</v>
      </c>
    </row>
    <row r="126" spans="1:22">
      <c r="A126" t="s">
        <v>22</v>
      </c>
      <c r="B126">
        <f>COUNTIFS('Mediation Dataset (Sudans)'!$G$2:$G$1222,"Ethiopia", 'Mediation Dataset (Sudans)'!$O$2:$O$1222,"=1")</f>
        <v>7</v>
      </c>
      <c r="C126">
        <f>COUNTIFS('Mediation Dataset (Sudans)'!$G$2:$G$1222,"Ethiopia", 'Mediation Dataset (Sudans)'!$P$2:$P$1222,"=1")</f>
        <v>55</v>
      </c>
      <c r="D126">
        <f>COUNTIFS('Mediation Dataset (Sudans)'!$G$2:$G$1222,"Ethiopia", 'Mediation Dataset (Sudans)'!$Q$2:$Q$1222,"=1")</f>
        <v>26</v>
      </c>
      <c r="E126">
        <f>COUNTIFS('Mediation Dataset (Sudans)'!$G$2:$G$1222,"Ethiopia", 'Mediation Dataset (Sudans)'!$R$2:$R$1222,"=1")</f>
        <v>21</v>
      </c>
      <c r="F126">
        <f>COUNTIFS('Mediation Dataset (Sudans)'!$G$2:$G$1222,"Ethiopia", 'Mediation Dataset (Sudans)'!$S$2:$S$1222,"=1")</f>
        <v>3</v>
      </c>
      <c r="G126">
        <f>COUNTIFS('Mediation Dataset (Sudans)'!$G$2:$G$1222,"Ethiopia", 'Mediation Dataset (Sudans)'!$T$2:$T$1222,"=1")</f>
        <v>2</v>
      </c>
      <c r="H126">
        <f>COUNTIFS('Mediation Dataset (Sudans)'!$G$2:$G$1222,"Ethiopia", 'Mediation Dataset (Sudans)'!$U$2:$U$1222,"=1")</f>
        <v>9</v>
      </c>
      <c r="I126">
        <f>COUNTIFS('Mediation Dataset (Sudans)'!$G$2:$G$1222,"Ethiopia", 'Mediation Dataset (Sudans)'!$V$2:$V$1222,"=1")</f>
        <v>4</v>
      </c>
      <c r="K126" t="s">
        <v>22</v>
      </c>
      <c r="L126">
        <f>COUNTIFS('Mediation Dataset (Sudans)'!$G$2:$G$1222,"Ethiopia", 'Mediation Dataset (Sudans)'!$K$2:$K$1222,"S")</f>
        <v>2</v>
      </c>
      <c r="M126">
        <v>76</v>
      </c>
      <c r="R126" t="s">
        <v>22</v>
      </c>
      <c r="S126">
        <f>COUNTIFS('Mediation Dataset (Sudans)'!$G$2:$G$1222,"Ethiopia", 'Mediation Dataset (Sudans)'!$K$2:$K$1222,"S")</f>
        <v>2</v>
      </c>
      <c r="T126">
        <f>COUNTIFS('Mediation Dataset (Sudans)'!$G$2:$G$1222,"Ethiopia", 'Mediation Dataset (Sudans)'!$K$2:$K$1222,"G")</f>
        <v>34</v>
      </c>
      <c r="U126">
        <f>COUNTIFS('Mediation Dataset (Sudans)'!$G$2:$G$1222,"Ethiopia", 'Mediation Dataset (Sudans)'!$K$2:$K$1222,"R")</f>
        <v>42</v>
      </c>
      <c r="V126">
        <f t="shared" ref="V126:V146" si="0">SUM(T126:U126)</f>
        <v>76</v>
      </c>
    </row>
    <row r="127" spans="1:22">
      <c r="A127" s="8" t="s">
        <v>193</v>
      </c>
      <c r="B127">
        <f>COUNTIFS('Mediation Dataset (Sudans)'!$G$2:$G$1222,"United States of America", 'Mediation Dataset (Sudans)'!$O$2:$O$1222,"=1")</f>
        <v>14</v>
      </c>
      <c r="C127">
        <f>COUNTIFS('Mediation Dataset (Sudans)'!$G$2:$G$1222,"United States of America", 'Mediation Dataset (Sudans)'!$P$2:$P$1222,"=1")</f>
        <v>34</v>
      </c>
      <c r="D127">
        <f>COUNTIFS('Mediation Dataset (Sudans)'!$G$2:$G$1222,"United States of America", 'Mediation Dataset (Sudans)'!$Q$2:$Q$1222,"=1")</f>
        <v>3</v>
      </c>
      <c r="E127">
        <f>COUNTIFS('Mediation Dataset (Sudans)'!$G$2:$G$1222,"United States of America", 'Mediation Dataset (Sudans)'!$R$2:$R$1222,"=1")</f>
        <v>22</v>
      </c>
      <c r="F127">
        <f>COUNTIFS('Mediation Dataset (Sudans)'!$G$2:$G$1222,"United States of America", 'Mediation Dataset (Sudans)'!$S$2:$S$1222,"=1")</f>
        <v>11</v>
      </c>
      <c r="G127">
        <f>COUNTIFS('Mediation Dataset (Sudans)'!$G$2:$G$1222,"United States of America", 'Mediation Dataset (Sudans)'!$T$2:$T$1222,"=1")</f>
        <v>4</v>
      </c>
      <c r="H127">
        <f>COUNTIFS('Mediation Dataset (Sudans)'!$G$2:$G$1222,"United States of America", 'Mediation Dataset (Sudans)'!$U$2:$U$1222,"=1")</f>
        <v>12</v>
      </c>
      <c r="I127">
        <f>COUNTIFS('Mediation Dataset (Sudans)'!$G$2:$G$1222,"United States of America", 'Mediation Dataset (Sudans)'!$V$2:$V$1222,"=1")</f>
        <v>9</v>
      </c>
      <c r="K127" s="8" t="s">
        <v>193</v>
      </c>
      <c r="L127">
        <f>COUNTIFS('Mediation Dataset (Sudans)'!$G$2:$G$1222,"United States of America", 'Mediation Dataset (Sudans)'!$K$2:$K$1222,"S")</f>
        <v>3</v>
      </c>
      <c r="M127">
        <v>62</v>
      </c>
      <c r="R127" s="8" t="s">
        <v>193</v>
      </c>
      <c r="S127">
        <f>COUNTIFS('Mediation Dataset (Sudans)'!$G$2:$G$1222,"United States of America", 'Mediation Dataset (Sudans)'!$K$2:$K$1222,"S")</f>
        <v>3</v>
      </c>
      <c r="T127">
        <f>COUNTIFS('Mediation Dataset (Sudans)'!$G$2:$G$1222,"United States of America", 'Mediation Dataset (Sudans)'!$K$2:$K$1222,"G")</f>
        <v>57</v>
      </c>
      <c r="U127">
        <f>COUNTIFS('Mediation Dataset (Sudans)'!$G$2:$G$1222,"United States of America", 'Mediation Dataset (Sudans)'!$K$2:$K$1222,"R")</f>
        <v>5</v>
      </c>
      <c r="V127">
        <f t="shared" si="0"/>
        <v>62</v>
      </c>
    </row>
    <row r="128" spans="1:22">
      <c r="A128" s="8" t="s">
        <v>151</v>
      </c>
      <c r="B128">
        <f>COUNTIFS('Mediation Dataset (Sudans)'!$G$2:$G$1222,"Nigeria", 'Mediation Dataset (Sudans)'!$O$2:$O$1222,"=1")</f>
        <v>3</v>
      </c>
      <c r="C128">
        <f>COUNTIFS('Mediation Dataset (Sudans)'!$G$2:$G$1222,"Nigeria", 'Mediation Dataset (Sudans)'!$P$2:$P$1222,"=1")</f>
        <v>1</v>
      </c>
      <c r="D128">
        <f>COUNTIFS('Mediation Dataset (Sudans)'!$G$2:$G$1222,"Nigeria", 'Mediation Dataset (Sudans)'!$Q$2:$Q$1222,"=1")</f>
        <v>1</v>
      </c>
      <c r="E128">
        <f>COUNTIFS('Mediation Dataset (Sudans)'!$G$2:$G$1222,"Nigeria", 'Mediation Dataset (Sudans)'!$R$2:$R$1222,"=1")</f>
        <v>1</v>
      </c>
      <c r="F128">
        <f>COUNTIFS('Mediation Dataset (Sudans)'!$G$2:$G$1222,"Nigeria", 'Mediation Dataset (Sudans)'!$S$2:$S$1222,"=1")</f>
        <v>0</v>
      </c>
      <c r="G128">
        <f>COUNTIFS('Mediation Dataset (Sudans)'!$G$2:$G$1222,"Nigeria", 'Mediation Dataset (Sudans)'!$T$2:$T$1222,"=1")</f>
        <v>0</v>
      </c>
      <c r="H128">
        <f>COUNTIFS('Mediation Dataset (Sudans)'!$G$2:$G$1222,"Nigeria", 'Mediation Dataset (Sudans)'!$U$2:$U$1222,"=1")</f>
        <v>3</v>
      </c>
      <c r="I128">
        <f>COUNTIFS('Mediation Dataset (Sudans)'!$G$2:$G$1222,"Nigeria", 'Mediation Dataset (Sudans)'!$V$2:$V$1222,"=1")</f>
        <v>0</v>
      </c>
      <c r="K128" s="8" t="s">
        <v>151</v>
      </c>
      <c r="L128">
        <f>COUNTIFS('Mediation Dataset (Sudans)'!$G$2:$G$1222,"Nigeria", 'Mediation Dataset (Sudans)'!$K$2:$K$1222,"S")</f>
        <v>0</v>
      </c>
      <c r="M128">
        <v>7</v>
      </c>
      <c r="R128" s="8" t="s">
        <v>151</v>
      </c>
      <c r="S128">
        <f>COUNTIFS('Mediation Dataset (Sudans)'!$G$2:$G$1222,"Nigeria", 'Mediation Dataset (Sudans)'!$K$2:$K$1222,"S")</f>
        <v>0</v>
      </c>
      <c r="T128">
        <f>COUNTIFS('Mediation Dataset (Sudans)'!$G$2:$G$1222,"Nigeria", 'Mediation Dataset (Sudans)'!$K$2:$K$1222,"G")</f>
        <v>2</v>
      </c>
      <c r="U128">
        <f>COUNTIFS('Mediation Dataset (Sudans)'!$G$2:$G$1222,"Nigeria", 'Mediation Dataset (Sudans)'!$K$2:$K$1222,"R")</f>
        <v>5</v>
      </c>
      <c r="V128">
        <f t="shared" si="0"/>
        <v>7</v>
      </c>
    </row>
    <row r="129" spans="1:22">
      <c r="A129" s="8" t="s">
        <v>152</v>
      </c>
      <c r="B129">
        <f>COUNTIFS('Mediation Dataset (Sudans)'!$G$2:$G$1222,"Kenya", 'Mediation Dataset (Sudans)'!$O$2:$O$1222,"=1")</f>
        <v>10</v>
      </c>
      <c r="C129">
        <f>COUNTIFS('Mediation Dataset (Sudans)'!$G$2:$G$1222,"Kenya", 'Mediation Dataset (Sudans)'!$P$2:$P$1222,"=1")</f>
        <v>49</v>
      </c>
      <c r="D129">
        <f>COUNTIFS('Mediation Dataset (Sudans)'!$G$2:$G$1222,"Kenya", 'Mediation Dataset (Sudans)'!$Q$2:$Q$1222,"=1")</f>
        <v>33</v>
      </c>
      <c r="E129">
        <f>COUNTIFS('Mediation Dataset (Sudans)'!$G$2:$G$1222,"Kenya", 'Mediation Dataset (Sudans)'!$R$2:$R$1222,"=1")</f>
        <v>19</v>
      </c>
      <c r="F129">
        <f>COUNTIFS('Mediation Dataset (Sudans)'!$G$2:$G$1222,"Kenya", 'Mediation Dataset (Sudans)'!$S$2:$S$1222,"=1")</f>
        <v>3</v>
      </c>
      <c r="G129">
        <f>COUNTIFS('Mediation Dataset (Sudans)'!$G$2:$G$1222,"Kenya", 'Mediation Dataset (Sudans)'!$T$2:$T$1222,"=1")</f>
        <v>2</v>
      </c>
      <c r="H129">
        <f>COUNTIFS('Mediation Dataset (Sudans)'!$G$2:$G$1222,"Kenya", 'Mediation Dataset (Sudans)'!$U$2:$U$1222,"=1")</f>
        <v>5</v>
      </c>
      <c r="I129">
        <f>COUNTIFS('Mediation Dataset (Sudans)'!$G$2:$G$1222,"Kenya", 'Mediation Dataset (Sudans)'!$V$2:$V$1222,"=1")</f>
        <v>5</v>
      </c>
      <c r="K129" s="8" t="s">
        <v>152</v>
      </c>
      <c r="L129">
        <f>COUNTIFS('Mediation Dataset (Sudans)'!$G$2:$G$1222,"Kenya", 'Mediation Dataset (Sudans)'!$K$2:$K$1222,"S")</f>
        <v>2</v>
      </c>
      <c r="M129">
        <v>67</v>
      </c>
      <c r="R129" s="8" t="s">
        <v>152</v>
      </c>
      <c r="S129">
        <f>COUNTIFS('Mediation Dataset (Sudans)'!$G$2:$G$1222,"Kenya", 'Mediation Dataset (Sudans)'!$K$2:$K$1222,"S")</f>
        <v>2</v>
      </c>
      <c r="T129">
        <f>COUNTIFS('Mediation Dataset (Sudans)'!$G$2:$G$1222,"Kenya", 'Mediation Dataset (Sudans)'!$K$2:$K$1222,"G")</f>
        <v>31</v>
      </c>
      <c r="U129">
        <f>COUNTIFS('Mediation Dataset (Sudans)'!$G$2:$G$1222,"Kenya", 'Mediation Dataset (Sudans)'!$K$2:$K$1222,"R")</f>
        <v>36</v>
      </c>
      <c r="V129">
        <f t="shared" si="0"/>
        <v>67</v>
      </c>
    </row>
    <row r="130" spans="1:22">
      <c r="A130" s="8" t="s">
        <v>191</v>
      </c>
      <c r="B130">
        <f>COUNTIFS('Mediation Dataset (Sudans)'!$G$2:$G$1222,"Eritrea", 'Mediation Dataset (Sudans)'!$O$2:$O$1222,"=1")</f>
        <v>6</v>
      </c>
      <c r="C130">
        <f>COUNTIFS('Mediation Dataset (Sudans)'!$G$2:$G$1222,"Eritrea", 'Mediation Dataset (Sudans)'!$P$2:$P$1222,"=1")</f>
        <v>48</v>
      </c>
      <c r="D130">
        <f>COUNTIFS('Mediation Dataset (Sudans)'!$G$2:$G$1222,"Eritrea", 'Mediation Dataset (Sudans)'!$Q$2:$Q$1222,"=1")</f>
        <v>1</v>
      </c>
      <c r="E130">
        <f>COUNTIFS('Mediation Dataset (Sudans)'!$G$2:$G$1222,"Eritrea", 'Mediation Dataset (Sudans)'!$R$2:$R$1222,"=1")</f>
        <v>15</v>
      </c>
      <c r="F130">
        <f>COUNTIFS('Mediation Dataset (Sudans)'!$G$2:$G$1222,"Eritrea", 'Mediation Dataset (Sudans)'!$S$2:$S$1222,"=1")</f>
        <v>1</v>
      </c>
      <c r="G130">
        <f>COUNTIFS('Mediation Dataset (Sudans)'!$G$2:$G$1222,"Eritrea", 'Mediation Dataset (Sudans)'!$T$2:$T$1222,"=1")</f>
        <v>1</v>
      </c>
      <c r="H130">
        <f>COUNTIFS('Mediation Dataset (Sudans)'!$G$2:$G$1222,"Eritrea", 'Mediation Dataset (Sudans)'!$U$2:$U$1222,"=1")</f>
        <v>5</v>
      </c>
      <c r="I130">
        <f>COUNTIFS('Mediation Dataset (Sudans)'!$G$2:$G$1222,"Eritrea", 'Mediation Dataset (Sudans)'!$V$2:$V$1222,"=1")</f>
        <v>3</v>
      </c>
      <c r="K130" s="8" t="s">
        <v>191</v>
      </c>
      <c r="L130">
        <f>COUNTIFS('Mediation Dataset (Sudans)'!$G$2:$G$1222,"Eritrea", 'Mediation Dataset (Sudans)'!$K$2:$K$1222,"S")</f>
        <v>1</v>
      </c>
      <c r="M130">
        <v>58</v>
      </c>
      <c r="R130" s="8" t="s">
        <v>191</v>
      </c>
      <c r="S130">
        <f>COUNTIFS('Mediation Dataset (Sudans)'!$G$2:$G$1222,"Eritrea", 'Mediation Dataset (Sudans)'!$K$2:$K$1222,"S")</f>
        <v>1</v>
      </c>
      <c r="T130">
        <f>COUNTIFS('Mediation Dataset (Sudans)'!$G$2:$G$1222,"Eritrea", 'Mediation Dataset (Sudans)'!$K$2:$K$1222,"G")</f>
        <v>27</v>
      </c>
      <c r="U130">
        <f>COUNTIFS('Mediation Dataset (Sudans)'!$G$2:$G$1222,"Eritrea", 'Mediation Dataset (Sudans)'!$K$2:$K$1222,"R")</f>
        <v>31</v>
      </c>
      <c r="V130">
        <f t="shared" si="0"/>
        <v>58</v>
      </c>
    </row>
    <row r="131" spans="1:22">
      <c r="A131" s="8" t="s">
        <v>192</v>
      </c>
      <c r="B131">
        <f>COUNTIFS('Mediation Dataset (Sudans)'!$G$2:$G$1222,"Uganda", 'Mediation Dataset (Sudans)'!$O$2:$O$1222,"=1")</f>
        <v>8</v>
      </c>
      <c r="C131">
        <f>COUNTIFS('Mediation Dataset (Sudans)'!$G$2:$G$1222,"Uganda", 'Mediation Dataset (Sudans)'!$P$2:$P$1222,"=1")</f>
        <v>56</v>
      </c>
      <c r="D131">
        <f>COUNTIFS('Mediation Dataset (Sudans)'!$G$2:$G$1222,"Uganda", 'Mediation Dataset (Sudans)'!$Q$2:$Q$1222,"=1")</f>
        <v>4</v>
      </c>
      <c r="E131">
        <f>COUNTIFS('Mediation Dataset (Sudans)'!$G$2:$G$1222,"Uganda", 'Mediation Dataset (Sudans)'!$R$2:$R$1222,"=1")</f>
        <v>16</v>
      </c>
      <c r="F131">
        <f>COUNTIFS('Mediation Dataset (Sudans)'!$G$2:$G$1222,"Uganda", 'Mediation Dataset (Sudans)'!$S$2:$S$1222,"=1")</f>
        <v>2</v>
      </c>
      <c r="G131">
        <f>COUNTIFS('Mediation Dataset (Sudans)'!$G$2:$G$1222,"Uganda", 'Mediation Dataset (Sudans)'!$T$2:$T$1222,"=1")</f>
        <v>1</v>
      </c>
      <c r="H131">
        <f>COUNTIFS('Mediation Dataset (Sudans)'!$G$2:$G$1222,"Uganda", 'Mediation Dataset (Sudans)'!$U$2:$U$1222,"=1")</f>
        <v>8</v>
      </c>
      <c r="I131">
        <f>COUNTIFS('Mediation Dataset (Sudans)'!$G$2:$G$1222,"Uganda", 'Mediation Dataset (Sudans)'!$V$2:$V$1222,"=1")</f>
        <v>4</v>
      </c>
      <c r="K131" s="8" t="s">
        <v>192</v>
      </c>
      <c r="L131">
        <f>COUNTIFS('Mediation Dataset (Sudans)'!$G$2:$G$1222,"Uganda", 'Mediation Dataset (Sudans)'!$K$2:$K$1222,"S")</f>
        <v>6</v>
      </c>
      <c r="M131">
        <v>63</v>
      </c>
      <c r="R131" s="8" t="s">
        <v>192</v>
      </c>
      <c r="S131">
        <f>COUNTIFS('Mediation Dataset (Sudans)'!$G$2:$G$1222,"Uganda", 'Mediation Dataset (Sudans)'!$K$2:$K$1222,"S")</f>
        <v>6</v>
      </c>
      <c r="T131">
        <f>COUNTIFS('Mediation Dataset (Sudans)'!$G$2:$G$1222,"Uganda", 'Mediation Dataset (Sudans)'!$K$2:$K$1222,"G")</f>
        <v>28</v>
      </c>
      <c r="U131">
        <f>COUNTIFS('Mediation Dataset (Sudans)'!$G$2:$G$1222,"Uganda", 'Mediation Dataset (Sudans)'!$K$2:$K$1222,"R")</f>
        <v>35</v>
      </c>
      <c r="V131">
        <f t="shared" si="0"/>
        <v>63</v>
      </c>
    </row>
    <row r="132" spans="1:22">
      <c r="A132" s="8" t="s">
        <v>154</v>
      </c>
      <c r="B132">
        <f>COUNTIFS('Mediation Dataset (Sudans)'!$G$2:$G$1222,"Egypt", 'Mediation Dataset (Sudans)'!$O$2:$O$1222,"=1")</f>
        <v>3</v>
      </c>
      <c r="C132">
        <f>COUNTIFS('Mediation Dataset (Sudans)'!$G$2:$G$1222,"Egypt", 'Mediation Dataset (Sudans)'!$P$2:$P$1222,"=1")</f>
        <v>6</v>
      </c>
      <c r="D132">
        <f>COUNTIFS('Mediation Dataset (Sudans)'!$G$2:$G$1222,"Egypt", 'Mediation Dataset (Sudans)'!$Q$2:$Q$1222,"=1")</f>
        <v>6</v>
      </c>
      <c r="E132">
        <f>COUNTIFS('Mediation Dataset (Sudans)'!$G$2:$G$1222,"Egypt", 'Mediation Dataset (Sudans)'!$R$2:$R$1222,"=1")</f>
        <v>8</v>
      </c>
      <c r="F132">
        <f>COUNTIFS('Mediation Dataset (Sudans)'!$G$2:$G$1222,"Egypt", 'Mediation Dataset (Sudans)'!$S$2:$S$1222,"=1")</f>
        <v>1</v>
      </c>
      <c r="G132">
        <f>COUNTIFS('Mediation Dataset (Sudans)'!$G$2:$G$1222,"Egypt", 'Mediation Dataset (Sudans)'!$T$2:$T$1222,"=1")</f>
        <v>1</v>
      </c>
      <c r="H132">
        <f>COUNTIFS('Mediation Dataset (Sudans)'!$G$2:$G$1222,"Egypt", 'Mediation Dataset (Sudans)'!$U$2:$U$1222,"=1")</f>
        <v>5</v>
      </c>
      <c r="I132">
        <f>COUNTIFS('Mediation Dataset (Sudans)'!$G$2:$G$1222,"Egypt", 'Mediation Dataset (Sudans)'!$V$2:$V$1222,"=1")</f>
        <v>2</v>
      </c>
      <c r="K132" s="8" t="s">
        <v>154</v>
      </c>
      <c r="L132">
        <f>COUNTIFS('Mediation Dataset (Sudans)'!$G$2:$G$1222,"Egypt", 'Mediation Dataset (Sudans)'!$K$2:$K$1222,"S")</f>
        <v>5</v>
      </c>
      <c r="M132">
        <v>10</v>
      </c>
      <c r="R132" s="8" t="s">
        <v>154</v>
      </c>
      <c r="S132">
        <f>COUNTIFS('Mediation Dataset (Sudans)'!$G$2:$G$1222,"Egypt", 'Mediation Dataset (Sudans)'!$K$2:$K$1222,"S")</f>
        <v>5</v>
      </c>
      <c r="T132">
        <f>COUNTIFS('Mediation Dataset (Sudans)'!$G$2:$G$1222,"Egypt", 'Mediation Dataset (Sudans)'!$K$2:$K$1222,"G")</f>
        <v>6</v>
      </c>
      <c r="U132">
        <f>COUNTIFS('Mediation Dataset (Sudans)'!$G$2:$G$1222,"Egypt", 'Mediation Dataset (Sudans)'!$K$2:$K$1222,"R")</f>
        <v>4</v>
      </c>
      <c r="V132">
        <f t="shared" si="0"/>
        <v>10</v>
      </c>
    </row>
    <row r="133" spans="1:22">
      <c r="A133" s="8" t="s">
        <v>283</v>
      </c>
      <c r="B133">
        <f>COUNTIFS('Mediation Dataset (Sudans)'!$G$2:$G$1222,"Libya", 'Mediation Dataset (Sudans)'!$O$2:$O$1222,"=1")</f>
        <v>0</v>
      </c>
      <c r="C133">
        <f>COUNTIFS('Mediation Dataset (Sudans)'!$G$2:$G$1222,"Libya", 'Mediation Dataset (Sudans)'!$P$2:$P$1222,"=1")</f>
        <v>0</v>
      </c>
      <c r="D133">
        <f>COUNTIFS('Mediation Dataset (Sudans)'!$G$2:$G$1222,"Libya", 'Mediation Dataset (Sudans)'!$Q$2:$Q$1222,"=1")</f>
        <v>0</v>
      </c>
      <c r="E133">
        <f>COUNTIFS('Mediation Dataset (Sudans)'!$G$2:$G$1222,"Libya", 'Mediation Dataset (Sudans)'!$R$2:$R$1222,"=1")</f>
        <v>1</v>
      </c>
      <c r="F133">
        <f>COUNTIFS('Mediation Dataset (Sudans)'!$G$2:$G$1222,"Libya", 'Mediation Dataset (Sudans)'!$S$2:$S$1222,"=1")</f>
        <v>0</v>
      </c>
      <c r="G133">
        <f>COUNTIFS('Mediation Dataset (Sudans)'!$G$2:$G$1222,"Libya", 'Mediation Dataset (Sudans)'!$T$2:$T$1222,"=1")</f>
        <v>0</v>
      </c>
      <c r="H133">
        <f>COUNTIFS('Mediation Dataset (Sudans)'!$G$2:$G$1222,"Libya", 'Mediation Dataset (Sudans)'!$U$2:$U$1222,"=1")</f>
        <v>0</v>
      </c>
      <c r="I133">
        <f>COUNTIFS('Mediation Dataset (Sudans)'!$G$2:$G$1222,"Libya", 'Mediation Dataset (Sudans)'!$V$2:$V$1222,"=1")</f>
        <v>0</v>
      </c>
      <c r="K133" s="8" t="s">
        <v>283</v>
      </c>
      <c r="L133">
        <f>COUNTIFS('Mediation Dataset (Sudans)'!$G$2:$G$1222,"Libya", 'Mediation Dataset (Sudans)'!$K$2:$K$1222,"S")</f>
        <v>0</v>
      </c>
      <c r="M133">
        <v>2</v>
      </c>
      <c r="R133" s="8" t="s">
        <v>283</v>
      </c>
      <c r="S133">
        <f>COUNTIFS('Mediation Dataset (Sudans)'!$G$2:$G$1222,"Libya", 'Mediation Dataset (Sudans)'!$K$2:$K$1222,"S")</f>
        <v>0</v>
      </c>
      <c r="T133">
        <f>COUNTIFS('Mediation Dataset (Sudans)'!$G$2:$G$1222,"Libya", 'Mediation Dataset (Sudans)'!$K$2:$K$1222,"G")</f>
        <v>0</v>
      </c>
      <c r="U133">
        <f>COUNTIFS('Mediation Dataset (Sudans)'!$G$2:$G$1222,"Libya", 'Mediation Dataset (Sudans)'!$K$2:$K$1222,"R")</f>
        <v>2</v>
      </c>
      <c r="V133">
        <f t="shared" si="0"/>
        <v>2</v>
      </c>
    </row>
    <row r="134" spans="1:22">
      <c r="A134" s="8" t="s">
        <v>202</v>
      </c>
      <c r="B134">
        <f>COUNTIFS('Mediation Dataset (Sudans)'!$G$2:$G$1222,"United Kingdom", 'Mediation Dataset (Sudans)'!$O$2:$O$1222,"=1")</f>
        <v>9</v>
      </c>
      <c r="C134">
        <f>COUNTIFS('Mediation Dataset (Sudans)'!$G$2:$G$1222,"United Kingdom", 'Mediation Dataset (Sudans)'!$P$2:$P$1222,"=1")</f>
        <v>27</v>
      </c>
      <c r="D134">
        <f>COUNTIFS('Mediation Dataset (Sudans)'!$G$2:$G$1222,"United Kingdom", 'Mediation Dataset (Sudans)'!$Q$2:$Q$1222,"=1")</f>
        <v>0</v>
      </c>
      <c r="E134">
        <f>COUNTIFS('Mediation Dataset (Sudans)'!$G$2:$G$1222,"United Kingdom", 'Mediation Dataset (Sudans)'!$R$2:$R$1222,"=1")</f>
        <v>18</v>
      </c>
      <c r="F134">
        <f>COUNTIFS('Mediation Dataset (Sudans)'!$G$2:$G$1222,"United Kingdom", 'Mediation Dataset (Sudans)'!$S$2:$S$1222,"=1")</f>
        <v>8</v>
      </c>
      <c r="G134">
        <f>COUNTIFS('Mediation Dataset (Sudans)'!$G$2:$G$1222,"United Kingdom", 'Mediation Dataset (Sudans)'!$T$2:$T$1222,"=1")</f>
        <v>3</v>
      </c>
      <c r="H134">
        <f>COUNTIFS('Mediation Dataset (Sudans)'!$G$2:$G$1222,"United Kingdom", 'Mediation Dataset (Sudans)'!$U$2:$U$1222,"=1")</f>
        <v>11</v>
      </c>
      <c r="I134">
        <f>COUNTIFS('Mediation Dataset (Sudans)'!$G$2:$G$1222,"United Kingdom", 'Mediation Dataset (Sudans)'!$V$2:$V$1222,"=1")</f>
        <v>7</v>
      </c>
      <c r="K134" s="8" t="s">
        <v>202</v>
      </c>
      <c r="L134">
        <f>COUNTIFS('Mediation Dataset (Sudans)'!$G$2:$G$1222,"United Kingdom", 'Mediation Dataset (Sudans)'!$K$2:$K$1222,"S")</f>
        <v>0</v>
      </c>
      <c r="M134">
        <v>55</v>
      </c>
      <c r="R134" s="8" t="s">
        <v>202</v>
      </c>
      <c r="S134">
        <f>COUNTIFS('Mediation Dataset (Sudans)'!$G$2:$G$1222,"United Kingdom", 'Mediation Dataset (Sudans)'!$K$2:$K$1222,"S")</f>
        <v>0</v>
      </c>
      <c r="T134">
        <f>COUNTIFS('Mediation Dataset (Sudans)'!$G$2:$G$1222,"United Kingdom", 'Mediation Dataset (Sudans)'!$K$2:$K$1222,"G")</f>
        <v>52</v>
      </c>
      <c r="U134">
        <f>COUNTIFS('Mediation Dataset (Sudans)'!$G$2:$G$1222,"United Kingdom", 'Mediation Dataset (Sudans)'!$K$2:$K$1222,"R")</f>
        <v>3</v>
      </c>
      <c r="V134">
        <f t="shared" si="0"/>
        <v>55</v>
      </c>
    </row>
    <row r="135" spans="1:22">
      <c r="A135" s="8" t="s">
        <v>156</v>
      </c>
      <c r="B135">
        <f>COUNTIFS('Mediation Dataset (Sudans)'!$G$2:$G$1222,"Chad", 'Mediation Dataset (Sudans)'!$O$2:$O$1222,"=1")</f>
        <v>4</v>
      </c>
      <c r="C135">
        <f>COUNTIFS('Mediation Dataset (Sudans)'!$G$2:$G$1222,"Chad", 'Mediation Dataset (Sudans)'!$P$2:$P$1222,"=1")</f>
        <v>11</v>
      </c>
      <c r="D135">
        <f>COUNTIFS('Mediation Dataset (Sudans)'!$G$2:$G$1222,"Chad", 'Mediation Dataset (Sudans)'!$Q$2:$Q$1222,"=1")</f>
        <v>11</v>
      </c>
      <c r="E135">
        <f>COUNTIFS('Mediation Dataset (Sudans)'!$G$2:$G$1222,"Chad", 'Mediation Dataset (Sudans)'!$R$2:$R$1222,"=1")</f>
        <v>4</v>
      </c>
      <c r="F135">
        <f>COUNTIFS('Mediation Dataset (Sudans)'!$G$2:$G$1222,"Chad", 'Mediation Dataset (Sudans)'!$S$2:$S$1222,"=1")</f>
        <v>0</v>
      </c>
      <c r="G135">
        <f>COUNTIFS('Mediation Dataset (Sudans)'!$G$2:$G$1222,"Chad", 'Mediation Dataset (Sudans)'!$T$2:$T$1222,"=1")</f>
        <v>2</v>
      </c>
      <c r="H135">
        <f>COUNTIFS('Mediation Dataset (Sudans)'!$G$2:$G$1222,"Chad", 'Mediation Dataset (Sudans)'!$U$2:$U$1222,"=1")</f>
        <v>5</v>
      </c>
      <c r="I135">
        <f>COUNTIFS('Mediation Dataset (Sudans)'!$G$2:$G$1222,"Chad", 'Mediation Dataset (Sudans)'!$V$2:$V$1222,"=1")</f>
        <v>1</v>
      </c>
      <c r="K135" s="8" t="s">
        <v>156</v>
      </c>
      <c r="L135">
        <f>COUNTIFS('Mediation Dataset (Sudans)'!$G$2:$G$1222,"Chad", 'Mediation Dataset (Sudans)'!$K$2:$K$1222,"S")</f>
        <v>11</v>
      </c>
      <c r="M135">
        <v>6</v>
      </c>
      <c r="R135" s="8" t="s">
        <v>156</v>
      </c>
      <c r="S135">
        <f>COUNTIFS('Mediation Dataset (Sudans)'!$G$2:$G$1222,"Chad", 'Mediation Dataset (Sudans)'!$K$2:$K$1222,"S")</f>
        <v>11</v>
      </c>
      <c r="T135">
        <f>COUNTIFS('Mediation Dataset (Sudans)'!$G$2:$G$1222,"Chad", 'Mediation Dataset (Sudans)'!$K$2:$K$1222,"G")</f>
        <v>4</v>
      </c>
      <c r="U135">
        <f>COUNTIFS('Mediation Dataset (Sudans)'!$G$2:$G$1222,"Chad", 'Mediation Dataset (Sudans)'!$K$2:$K$1222,"R")</f>
        <v>2</v>
      </c>
      <c r="V135">
        <f t="shared" si="0"/>
        <v>6</v>
      </c>
    </row>
    <row r="136" spans="1:22">
      <c r="A136" s="8" t="s">
        <v>155</v>
      </c>
      <c r="B136">
        <f>COUNTIFS('Mediation Dataset (Sudans)'!$G$2:$G$1222,"Saudi Arabia", 'Mediation Dataset (Sudans)'!$O$2:$O$1222,"=1")</f>
        <v>2</v>
      </c>
      <c r="C136">
        <f>COUNTIFS('Mediation Dataset (Sudans)'!$G$2:$G$1222,"Saudi Arabia", 'Mediation Dataset (Sudans)'!$P$2:$P$1222,"=1")</f>
        <v>2</v>
      </c>
      <c r="D136">
        <f>COUNTIFS('Mediation Dataset (Sudans)'!$G$2:$G$1222,"Saudi Arabia", 'Mediation Dataset (Sudans)'!$Q$2:$Q$1222,"=1")</f>
        <v>1</v>
      </c>
      <c r="E136">
        <f>COUNTIFS('Mediation Dataset (Sudans)'!$G$2:$G$1222,"Saudi Arabia", 'Mediation Dataset (Sudans)'!$R$2:$R$1222,"=1")</f>
        <v>6</v>
      </c>
      <c r="F136">
        <f>COUNTIFS('Mediation Dataset (Sudans)'!$G$2:$G$1222,"Saudi Arabia", 'Mediation Dataset (Sudans)'!$S$2:$S$1222,"=1")</f>
        <v>2</v>
      </c>
      <c r="G136">
        <f>COUNTIFS('Mediation Dataset (Sudans)'!$G$2:$G$1222,"Saudi Arabia", 'Mediation Dataset (Sudans)'!$T$2:$T$1222,"=1")</f>
        <v>2</v>
      </c>
      <c r="H136">
        <f>COUNTIFS('Mediation Dataset (Sudans)'!$G$2:$G$1222,"Saudi Arabia", 'Mediation Dataset (Sudans)'!$U$2:$U$1222,"=1")</f>
        <v>2</v>
      </c>
      <c r="I136">
        <f>COUNTIFS('Mediation Dataset (Sudans)'!$G$2:$G$1222,"Saudi Arabia", 'Mediation Dataset (Sudans)'!$V$2:$V$1222,"=1")</f>
        <v>5</v>
      </c>
      <c r="K136" s="8" t="s">
        <v>155</v>
      </c>
      <c r="L136">
        <f>COUNTIFS('Mediation Dataset (Sudans)'!$G$2:$G$1222,"Saudi Arabia", 'Mediation Dataset (Sudans)'!$K$2:$K$1222,"S")</f>
        <v>1</v>
      </c>
      <c r="M136">
        <v>9</v>
      </c>
      <c r="R136" s="8" t="s">
        <v>155</v>
      </c>
      <c r="S136">
        <f>COUNTIFS('Mediation Dataset (Sudans)'!$G$2:$G$1222,"Saudi Arabia", 'Mediation Dataset (Sudans)'!$K$2:$K$1222,"S")</f>
        <v>1</v>
      </c>
      <c r="T136">
        <f>COUNTIFS('Mediation Dataset (Sudans)'!$G$2:$G$1222,"Saudi Arabia", 'Mediation Dataset (Sudans)'!$K$2:$K$1222,"G")</f>
        <v>8</v>
      </c>
      <c r="U136">
        <f>COUNTIFS('Mediation Dataset (Sudans)'!$G$2:$G$1222,"Saudi Arabia", 'Mediation Dataset (Sudans)'!$K$2:$K$1222,"R")</f>
        <v>1</v>
      </c>
      <c r="V136">
        <f t="shared" si="0"/>
        <v>9</v>
      </c>
    </row>
    <row r="137" spans="1:22">
      <c r="A137" s="8" t="s">
        <v>62</v>
      </c>
      <c r="B137">
        <f>COUNTIFS('Mediation Dataset (Sudans)'!$G$2:$G$1222,"Russia", 'Mediation Dataset (Sudans)'!$O$2:$O$1222,"=1")</f>
        <v>0</v>
      </c>
      <c r="C137">
        <f>COUNTIFS('Mediation Dataset (Sudans)'!$G$2:$G$1222,"Russia", 'Mediation Dataset (Sudans)'!$P$2:$P$1222,"=1")</f>
        <v>2</v>
      </c>
      <c r="D137">
        <f>COUNTIFS('Mediation Dataset (Sudans)'!$G$2:$G$1222,"Russia", 'Mediation Dataset (Sudans)'!$Q$2:$Q$1222,"=1")</f>
        <v>1</v>
      </c>
      <c r="E137">
        <f>COUNTIFS('Mediation Dataset (Sudans)'!$G$2:$G$1222,"Russia", 'Mediation Dataset (Sudans)'!$R$2:$R$1222,"=1")</f>
        <v>3</v>
      </c>
      <c r="F137">
        <f>COUNTIFS('Mediation Dataset (Sudans)'!$G$2:$G$1222,"Russia", 'Mediation Dataset (Sudans)'!$S$2:$S$1222,"=1")</f>
        <v>0</v>
      </c>
      <c r="G137">
        <f>COUNTIFS('Mediation Dataset (Sudans)'!$G$2:$G$1222,"Russia", 'Mediation Dataset (Sudans)'!$T$2:$T$1222,"=1")</f>
        <v>1</v>
      </c>
      <c r="H137">
        <f>COUNTIFS('Mediation Dataset (Sudans)'!$G$2:$G$1222,"Russia", 'Mediation Dataset (Sudans)'!$U$2:$U$1222,"=1")</f>
        <v>3</v>
      </c>
      <c r="I137">
        <f>COUNTIFS('Mediation Dataset (Sudans)'!$G$2:$G$1222,"Russia", 'Mediation Dataset (Sudans)'!$V$2:$V$1222,"=1")</f>
        <v>0</v>
      </c>
      <c r="K137" s="8" t="s">
        <v>62</v>
      </c>
      <c r="L137">
        <f>COUNTIFS('Mediation Dataset (Sudans)'!$G$2:$G$1222,"Russia", 'Mediation Dataset (Sudans)'!$K$2:$K$1222,"S")</f>
        <v>1</v>
      </c>
      <c r="M137">
        <v>4</v>
      </c>
      <c r="R137" s="8" t="s">
        <v>62</v>
      </c>
      <c r="S137">
        <f>COUNTIFS('Mediation Dataset (Sudans)'!$G$2:$G$1222,"Russia", 'Mediation Dataset (Sudans)'!$K$2:$K$1222,"S")</f>
        <v>1</v>
      </c>
      <c r="T137">
        <f>COUNTIFS('Mediation Dataset (Sudans)'!$G$2:$G$1222,"Russia", 'Mediation Dataset (Sudans)'!$K$2:$K$1222,"G")</f>
        <v>4</v>
      </c>
      <c r="U137">
        <f>COUNTIFS('Mediation Dataset (Sudans)'!$G$2:$G$1222,"Russia", 'Mediation Dataset (Sudans)'!$K$2:$K$1222,"R")</f>
        <v>0</v>
      </c>
      <c r="V137">
        <f t="shared" si="0"/>
        <v>4</v>
      </c>
    </row>
    <row r="138" spans="1:22">
      <c r="A138" s="8" t="s">
        <v>157</v>
      </c>
      <c r="B138">
        <f>COUNTIFS('Mediation Dataset (Sudans)'!$G$2:$G$1222,"Qatar", 'Mediation Dataset (Sudans)'!$O$2:$O$1222,"=1")</f>
        <v>2</v>
      </c>
      <c r="C138">
        <f>COUNTIFS('Mediation Dataset (Sudans)'!$G$2:$G$1222,"Qatar", 'Mediation Dataset (Sudans)'!$P$2:$P$1222,"=1")</f>
        <v>6</v>
      </c>
      <c r="D138">
        <f>COUNTIFS('Mediation Dataset (Sudans)'!$G$2:$G$1222,"Qatar", 'Mediation Dataset (Sudans)'!$Q$2:$Q$1222,"=1")</f>
        <v>7</v>
      </c>
      <c r="E138">
        <f>COUNTIFS('Mediation Dataset (Sudans)'!$G$2:$G$1222,"Qatar", 'Mediation Dataset (Sudans)'!$R$2:$R$1222,"=1")</f>
        <v>5</v>
      </c>
      <c r="F138">
        <f>COUNTIFS('Mediation Dataset (Sudans)'!$G$2:$G$1222,"Qatar", 'Mediation Dataset (Sudans)'!$S$2:$S$1222,"=1")</f>
        <v>2</v>
      </c>
      <c r="G138">
        <f>COUNTIFS('Mediation Dataset (Sudans)'!$G$2:$G$1222,"Qatar", 'Mediation Dataset (Sudans)'!$T$2:$T$1222,"=1")</f>
        <v>2</v>
      </c>
      <c r="H138">
        <f>COUNTIFS('Mediation Dataset (Sudans)'!$G$2:$G$1222,"Qatar", 'Mediation Dataset (Sudans)'!$U$2:$U$1222,"=1")</f>
        <v>5</v>
      </c>
      <c r="I138">
        <f>COUNTIFS('Mediation Dataset (Sudans)'!$G$2:$G$1222,"Qatar", 'Mediation Dataset (Sudans)'!$V$2:$V$1222,"=1")</f>
        <v>4</v>
      </c>
      <c r="K138" s="8" t="s">
        <v>157</v>
      </c>
      <c r="L138">
        <f>COUNTIFS('Mediation Dataset (Sudans)'!$G$2:$G$1222,"Qatar", 'Mediation Dataset (Sudans)'!$K$2:$K$1222,"S")</f>
        <v>8</v>
      </c>
      <c r="M138">
        <v>6</v>
      </c>
      <c r="R138" s="8" t="s">
        <v>157</v>
      </c>
      <c r="S138">
        <f>COUNTIFS('Mediation Dataset (Sudans)'!$G$2:$G$1222,"Qatar", 'Mediation Dataset (Sudans)'!$K$2:$K$1222,"S")</f>
        <v>8</v>
      </c>
      <c r="T138">
        <f>COUNTIFS('Mediation Dataset (Sudans)'!$G$2:$G$1222,"Qatar", 'Mediation Dataset (Sudans)'!$K$2:$K$1222,"G")</f>
        <v>7</v>
      </c>
      <c r="U138">
        <f>COUNTIFS('Mediation Dataset (Sudans)'!$G$2:$G$1222,"Qatar", 'Mediation Dataset (Sudans)'!$K$2:$K$1222,"R")</f>
        <v>0</v>
      </c>
      <c r="V138">
        <f t="shared" si="0"/>
        <v>7</v>
      </c>
    </row>
    <row r="139" spans="1:22">
      <c r="A139" s="8" t="s">
        <v>60</v>
      </c>
      <c r="B139">
        <f>COUNTIFS('Mediation Dataset (Sudans)'!$G$2:$G$1222,"Sudan", 'Mediation Dataset (Sudans)'!$O$2:$O$1222,"=1")</f>
        <v>6</v>
      </c>
      <c r="C139">
        <f>COUNTIFS('Mediation Dataset (Sudans)'!$G$2:$G$1222,"Sudan", 'Mediation Dataset (Sudans)'!$P$2:$P$1222,"=1")</f>
        <v>20</v>
      </c>
      <c r="D139">
        <f>COUNTIFS('Mediation Dataset (Sudans)'!$G$2:$G$1222,"Sudan", 'Mediation Dataset (Sudans)'!$Q$2:$Q$1222,"=1")</f>
        <v>8</v>
      </c>
      <c r="E139">
        <f>COUNTIFS('Mediation Dataset (Sudans)'!$G$2:$G$1222,"Sudan", 'Mediation Dataset (Sudans)'!$R$2:$R$1222,"=1")</f>
        <v>6</v>
      </c>
      <c r="F139">
        <f>COUNTIFS('Mediation Dataset (Sudans)'!$G$2:$G$1222,"Sudan", 'Mediation Dataset (Sudans)'!$S$2:$S$1222,"=1")</f>
        <v>2</v>
      </c>
      <c r="G139">
        <f>COUNTIFS('Mediation Dataset (Sudans)'!$G$2:$G$1222,"Sudan", 'Mediation Dataset (Sudans)'!$T$2:$T$1222,"=1")</f>
        <v>0</v>
      </c>
      <c r="H139">
        <f>COUNTIFS('Mediation Dataset (Sudans)'!$G$2:$G$1222,"Sudan", 'Mediation Dataset (Sudans)'!$U$2:$U$1222,"=1")</f>
        <v>5</v>
      </c>
      <c r="I139">
        <f>COUNTIFS('Mediation Dataset (Sudans)'!$G$2:$G$1222,"Sudan", 'Mediation Dataset (Sudans)'!$V$2:$V$1222,"=1")</f>
        <v>4</v>
      </c>
      <c r="K139" s="8" t="s">
        <v>60</v>
      </c>
      <c r="L139">
        <f>COUNTIFS('Mediation Dataset (Sudans)'!$G$2:$G$1222,"Sudan", 'Mediation Dataset (Sudans)'!$K$2:$K$1222,"S")</f>
        <v>4</v>
      </c>
      <c r="M139">
        <v>29</v>
      </c>
      <c r="R139" s="8" t="s">
        <v>60</v>
      </c>
      <c r="S139">
        <f>COUNTIFS('Mediation Dataset (Sudans)'!$G$2:$G$1222,"Sudan", 'Mediation Dataset (Sudans)'!$K$2:$K$1222,"S")</f>
        <v>4</v>
      </c>
      <c r="T139">
        <f>COUNTIFS('Mediation Dataset (Sudans)'!$G$2:$G$1222,"Sudan", 'Mediation Dataset (Sudans)'!$K$2:$K$1222,"G")</f>
        <v>8</v>
      </c>
      <c r="U139">
        <f>COUNTIFS('Mediation Dataset (Sudans)'!$G$2:$G$1222,"Sudan", 'Mediation Dataset (Sudans)'!$K$2:$K$1222,"R")</f>
        <v>21</v>
      </c>
      <c r="V139">
        <f t="shared" si="0"/>
        <v>29</v>
      </c>
    </row>
    <row r="140" spans="1:22">
      <c r="A140" s="8" t="s">
        <v>249</v>
      </c>
      <c r="B140">
        <f>COUNTIFS('Mediation Dataset (Sudans)'!$G$2:$G$1222,"China", 'Mediation Dataset (Sudans)'!$O$2:$O$1222,"=1")</f>
        <v>1</v>
      </c>
      <c r="C140">
        <f>COUNTIFS('Mediation Dataset (Sudans)'!$G$2:$G$1222,"China", 'Mediation Dataset (Sudans)'!$P$2:$P$1222,"=1")</f>
        <v>2</v>
      </c>
      <c r="D140">
        <f>COUNTIFS('Mediation Dataset (Sudans)'!$G$2:$G$1222,"China", 'Mediation Dataset (Sudans)'!$Q$2:$Q$1222,"=1")</f>
        <v>0</v>
      </c>
      <c r="E140">
        <f>COUNTIFS('Mediation Dataset (Sudans)'!$G$2:$G$1222,"China", 'Mediation Dataset (Sudans)'!$R$2:$R$1222,"=1")</f>
        <v>6</v>
      </c>
      <c r="F140">
        <f>COUNTIFS('Mediation Dataset (Sudans)'!$G$2:$G$1222,"China", 'Mediation Dataset (Sudans)'!$S$2:$S$1222,"=1")</f>
        <v>2</v>
      </c>
      <c r="G140">
        <f>COUNTIFS('Mediation Dataset (Sudans)'!$G$2:$G$1222,"China", 'Mediation Dataset (Sudans)'!$T$2:$T$1222,"=1")</f>
        <v>2</v>
      </c>
      <c r="H140">
        <f>COUNTIFS('Mediation Dataset (Sudans)'!$G$2:$G$1222,"China", 'Mediation Dataset (Sudans)'!$U$2:$U$1222,"=1")</f>
        <v>5</v>
      </c>
      <c r="I140">
        <f>COUNTIFS('Mediation Dataset (Sudans)'!$G$2:$G$1222,"China", 'Mediation Dataset (Sudans)'!$V$2:$V$1222,"=1")</f>
        <v>2</v>
      </c>
      <c r="K140" s="8" t="s">
        <v>249</v>
      </c>
      <c r="L140">
        <f>COUNTIFS('Mediation Dataset (Sudans)'!$G$2:$G$1222,"China", 'Mediation Dataset (Sudans)'!$K$2:$K$1222,"S")</f>
        <v>1</v>
      </c>
      <c r="M140">
        <v>10</v>
      </c>
      <c r="R140" s="8" t="s">
        <v>249</v>
      </c>
      <c r="S140">
        <f>COUNTIFS('Mediation Dataset (Sudans)'!$G$2:$G$1222,"China", 'Mediation Dataset (Sudans)'!$K$2:$K$1222,"S")</f>
        <v>1</v>
      </c>
      <c r="T140">
        <f>COUNTIFS('Mediation Dataset (Sudans)'!$G$2:$G$1222,"China", 'Mediation Dataset (Sudans)'!$K$2:$K$1222,"G")</f>
        <v>9</v>
      </c>
      <c r="U140">
        <f>COUNTIFS('Mediation Dataset (Sudans)'!$G$2:$G$1222,"China", 'Mediation Dataset (Sudans)'!$K$2:$K$1222,"R")</f>
        <v>1</v>
      </c>
      <c r="V140">
        <f t="shared" si="0"/>
        <v>10</v>
      </c>
    </row>
    <row r="141" spans="1:22">
      <c r="A141" s="8" t="s">
        <v>484</v>
      </c>
      <c r="B141">
        <f>COUNTIFS('Mediation Dataset (Sudans)'!$G$2:$G$1222,"Djibouti", 'Mediation Dataset (Sudans)'!$O$2:$O$1222,"=1")</f>
        <v>1</v>
      </c>
      <c r="C141">
        <f>COUNTIFS('Mediation Dataset (Sudans)'!$G$2:$G$1222,"Djibouti", 'Mediation Dataset (Sudans)'!$P$2:$P$1222,"=1")</f>
        <v>1</v>
      </c>
      <c r="D141">
        <f>COUNTIFS('Mediation Dataset (Sudans)'!$G$2:$G$1222,"Djibouti", 'Mediation Dataset (Sudans)'!$Q$2:$Q$1222,"=1")</f>
        <v>0</v>
      </c>
      <c r="E141">
        <f>COUNTIFS('Mediation Dataset (Sudans)'!$G$2:$G$1222,"Djibouti", 'Mediation Dataset (Sudans)'!$R$2:$R$1222,"=1")</f>
        <v>3</v>
      </c>
      <c r="F141">
        <f>COUNTIFS('Mediation Dataset (Sudans)'!$G$2:$G$1222,"Djibouti", 'Mediation Dataset (Sudans)'!$S$2:$S$1222,"=1")</f>
        <v>1</v>
      </c>
      <c r="G141">
        <f>COUNTIFS('Mediation Dataset (Sudans)'!$G$2:$G$1222,"Djibouti", 'Mediation Dataset (Sudans)'!$T$2:$T$1222,"=1")</f>
        <v>0</v>
      </c>
      <c r="H141">
        <f>COUNTIFS('Mediation Dataset (Sudans)'!$G$2:$G$1222,"Djibouti", 'Mediation Dataset (Sudans)'!$U$2:$U$1222,"=1")</f>
        <v>2</v>
      </c>
      <c r="I141">
        <f>COUNTIFS('Mediation Dataset (Sudans)'!$G$2:$G$1222,"Djibouti", 'Mediation Dataset (Sudans)'!$V$2:$V$1222,"=1")</f>
        <v>2</v>
      </c>
      <c r="K141" s="8" t="s">
        <v>484</v>
      </c>
      <c r="L141">
        <f>COUNTIFS('Mediation Dataset (Sudans)'!$G$2:$G$1222,"Djibouti", 'Mediation Dataset (Sudans)'!$K$2:$K$1222,"S")</f>
        <v>0</v>
      </c>
      <c r="M141">
        <v>7</v>
      </c>
      <c r="R141" s="8" t="s">
        <v>484</v>
      </c>
      <c r="S141">
        <f>COUNTIFS('Mediation Dataset (Sudans)'!$G$2:$G$1222,"Djibouti", 'Mediation Dataset (Sudans)'!$K$2:$K$1222,"S")</f>
        <v>0</v>
      </c>
      <c r="T141">
        <f>COUNTIFS('Mediation Dataset (Sudans)'!$G$2:$G$1222,"Djibouti", 'Mediation Dataset (Sudans)'!$K$2:$K$1222,"G")</f>
        <v>3</v>
      </c>
      <c r="U141">
        <f>COUNTIFS('Mediation Dataset (Sudans)'!$G$2:$G$1222,"Djibouti", 'Mediation Dataset (Sudans)'!$K$2:$K$1222,"R")</f>
        <v>4</v>
      </c>
      <c r="V141">
        <f t="shared" si="0"/>
        <v>7</v>
      </c>
    </row>
    <row r="142" spans="1:22">
      <c r="A142" s="8" t="s">
        <v>485</v>
      </c>
      <c r="B142">
        <f>COUNTIFS('Mediation Dataset (Sudans)'!$G$2:$G$1222,"Somalia", 'Mediation Dataset (Sudans)'!$O$2:$O$1222,"=1")</f>
        <v>0</v>
      </c>
      <c r="C142">
        <f>COUNTIFS('Mediation Dataset (Sudans)'!$G$2:$G$1222,"Somalia", 'Mediation Dataset (Sudans)'!$P$2:$P$1222,"=1")</f>
        <v>1</v>
      </c>
      <c r="D142">
        <f>COUNTIFS('Mediation Dataset (Sudans)'!$G$2:$G$1222,"Somalia", 'Mediation Dataset (Sudans)'!$Q$2:$Q$1222,"=1")</f>
        <v>0</v>
      </c>
      <c r="E142">
        <f>COUNTIFS('Mediation Dataset (Sudans)'!$G$2:$G$1222,"Somalia", 'Mediation Dataset (Sudans)'!$R$2:$R$1222,"=1")</f>
        <v>3</v>
      </c>
      <c r="F142">
        <f>COUNTIFS('Mediation Dataset (Sudans)'!$G$2:$G$1222,"Somalia", 'Mediation Dataset (Sudans)'!$S$2:$S$1222,"=1")</f>
        <v>1</v>
      </c>
      <c r="G142">
        <f>COUNTIFS('Mediation Dataset (Sudans)'!$G$2:$G$1222,"Somalia", 'Mediation Dataset (Sudans)'!$T$2:$T$1222,"=1")</f>
        <v>0</v>
      </c>
      <c r="H142">
        <f>COUNTIFS('Mediation Dataset (Sudans)'!$G$2:$G$1222,"Somalia", 'Mediation Dataset (Sudans)'!$U$2:$U$1222,"=1")</f>
        <v>2</v>
      </c>
      <c r="I142">
        <f>COUNTIFS('Mediation Dataset (Sudans)'!$G$2:$G$1222,"Somalia", 'Mediation Dataset (Sudans)'!$V$2:$V$1222,"=1")</f>
        <v>1</v>
      </c>
      <c r="K142" s="8" t="s">
        <v>485</v>
      </c>
      <c r="L142">
        <f>COUNTIFS('Mediation Dataset (Sudans)'!$G$2:$G$1222,"Somalia", 'Mediation Dataset (Sudans)'!$K$2:$K$1222,"S")</f>
        <v>0</v>
      </c>
      <c r="M142">
        <v>5</v>
      </c>
      <c r="R142" s="8" t="s">
        <v>485</v>
      </c>
      <c r="S142">
        <f>COUNTIFS('Mediation Dataset (Sudans)'!$G$2:$G$1222,"Somalia", 'Mediation Dataset (Sudans)'!$K$2:$K$1222,"S")</f>
        <v>0</v>
      </c>
      <c r="T142">
        <f>COUNTIFS('Mediation Dataset (Sudans)'!$G$2:$G$1222,"Somalia", 'Mediation Dataset (Sudans)'!$K$2:$K$1222,"G")</f>
        <v>2</v>
      </c>
      <c r="U142">
        <f>COUNTIFS('Mediation Dataset (Sudans)'!$G$2:$G$1222,"Somalia", 'Mediation Dataset (Sudans)'!$K$2:$K$1222,"R")</f>
        <v>3</v>
      </c>
      <c r="V142">
        <f t="shared" si="0"/>
        <v>5</v>
      </c>
    </row>
    <row r="143" spans="1:22">
      <c r="A143" s="8" t="s">
        <v>482</v>
      </c>
      <c r="B143">
        <f>COUNTIFS('Mediation Dataset (Sudans)'!$G$2:$G$1222,"Rwanda", 'Mediation Dataset (Sudans)'!$O$2:$O$1222,"=1")</f>
        <v>1</v>
      </c>
      <c r="C143">
        <f>COUNTIFS('Mediation Dataset (Sudans)'!$G$2:$G$1222,"Rwanda", 'Mediation Dataset (Sudans)'!$P$2:$P$1222,"=1")</f>
        <v>0</v>
      </c>
      <c r="D143">
        <f>COUNTIFS('Mediation Dataset (Sudans)'!$G$2:$G$1222,"Rwanda", 'Mediation Dataset (Sudans)'!$Q$2:$Q$1222,"=1")</f>
        <v>0</v>
      </c>
      <c r="E143">
        <f>COUNTIFS('Mediation Dataset (Sudans)'!$G$2:$G$1222,"Rwanda", 'Mediation Dataset (Sudans)'!$R$2:$R$1222,"=1")</f>
        <v>2</v>
      </c>
      <c r="F143">
        <f>COUNTIFS('Mediation Dataset (Sudans)'!$G$2:$G$1222,"Rwanda", 'Mediation Dataset (Sudans)'!$S$2:$S$1222,"=1")</f>
        <v>0</v>
      </c>
      <c r="G143">
        <f>COUNTIFS('Mediation Dataset (Sudans)'!$G$2:$G$1222,"Rwanda", 'Mediation Dataset (Sudans)'!$T$2:$T$1222,"=1")</f>
        <v>0</v>
      </c>
      <c r="H143">
        <f>COUNTIFS('Mediation Dataset (Sudans)'!$G$2:$G$1222,"Rwanda", 'Mediation Dataset (Sudans)'!$U$2:$U$1222,"=1")</f>
        <v>3</v>
      </c>
      <c r="I143">
        <f>COUNTIFS('Mediation Dataset (Sudans)'!$G$2:$G$1222,"Rwanda", 'Mediation Dataset (Sudans)'!$V$2:$V$1222,"=1")</f>
        <v>0</v>
      </c>
      <c r="K143" s="8" t="s">
        <v>482</v>
      </c>
      <c r="L143">
        <f>COUNTIFS('Mediation Dataset (Sudans)'!$G$2:$G$1222,"Rwanda", 'Mediation Dataset (Sudans)'!$K$2:$K$1222,"S")</f>
        <v>0</v>
      </c>
      <c r="M143">
        <v>5</v>
      </c>
      <c r="R143" s="8" t="s">
        <v>482</v>
      </c>
      <c r="S143">
        <f>COUNTIFS('Mediation Dataset (Sudans)'!$G$2:$G$1222,"Rwanda", 'Mediation Dataset (Sudans)'!$K$2:$K$1222,"S")</f>
        <v>0</v>
      </c>
      <c r="T143">
        <f>COUNTIFS('Mediation Dataset (Sudans)'!$G$2:$G$1222,"Rwanda", 'Mediation Dataset (Sudans)'!$K$2:$K$1222,"G")</f>
        <v>3</v>
      </c>
      <c r="U143">
        <f>COUNTIFS('Mediation Dataset (Sudans)'!$G$2:$G$1222,"Rwanda", 'Mediation Dataset (Sudans)'!$K$2:$K$1222,"R")</f>
        <v>2</v>
      </c>
      <c r="V143">
        <f t="shared" si="0"/>
        <v>5</v>
      </c>
    </row>
    <row r="144" spans="1:22">
      <c r="A144" s="8" t="s">
        <v>615</v>
      </c>
      <c r="B144">
        <f>COUNTIFS('Mediation Dataset (Sudans)'!$G$2:$G$1222,"United Arab Emirates", 'Mediation Dataset (Sudans)'!$O$2:$O$1222,"=1")</f>
        <v>2</v>
      </c>
      <c r="C144">
        <f>COUNTIFS('Mediation Dataset (Sudans)'!$G$2:$G$1222,"United Arab Emirates", 'Mediation Dataset (Sudans)'!$P$2:$P$1222,"=1")</f>
        <v>1</v>
      </c>
      <c r="D144">
        <f>COUNTIFS('Mediation Dataset (Sudans)'!$G$2:$G$1222,"United Arab Emirates", 'Mediation Dataset (Sudans)'!$Q$2:$Q$1222,"=1")</f>
        <v>0</v>
      </c>
      <c r="E144">
        <f>COUNTIFS('Mediation Dataset (Sudans)'!$G$2:$G$1222,"United Arab Emirates", 'Mediation Dataset (Sudans)'!$R$2:$R$1222,"=1")</f>
        <v>5</v>
      </c>
      <c r="F144">
        <f>COUNTIFS('Mediation Dataset (Sudans)'!$G$2:$G$1222,"United Arab Emirates", 'Mediation Dataset (Sudans)'!$S$2:$S$1222,"=1")</f>
        <v>3</v>
      </c>
      <c r="G144">
        <f>COUNTIFS('Mediation Dataset (Sudans)'!$G$2:$G$1222,"United Arab Emirates", 'Mediation Dataset (Sudans)'!$T$2:$T$1222,"=1")</f>
        <v>1</v>
      </c>
      <c r="H144">
        <f>COUNTIFS('Mediation Dataset (Sudans)'!$G$2:$G$1222,"United Arab Emirates", 'Mediation Dataset (Sudans)'!$U$2:$U$1222,"=1")</f>
        <v>2</v>
      </c>
      <c r="I144">
        <f>COUNTIFS('Mediation Dataset (Sudans)'!$G$2:$G$1222,"United Arab Emirates", 'Mediation Dataset (Sudans)'!$V$2:$V$1222,"=1")</f>
        <v>6</v>
      </c>
      <c r="K144" s="8" t="s">
        <v>615</v>
      </c>
      <c r="L144">
        <f>COUNTIFS('Mediation Dataset (Sudans)'!$G$2:$G$1222,"United Arab Emirates", 'Mediation Dataset (Sudans)'!$K$2:$K$1222,"S")</f>
        <v>2</v>
      </c>
      <c r="M144">
        <v>8</v>
      </c>
      <c r="R144" s="8" t="s">
        <v>615</v>
      </c>
      <c r="S144">
        <f>COUNTIFS('Mediation Dataset (Sudans)'!$G$2:$G$1222,"United Arab Emirates", 'Mediation Dataset (Sudans)'!$K$2:$K$1222,"S")</f>
        <v>2</v>
      </c>
      <c r="T144">
        <f>COUNTIFS('Mediation Dataset (Sudans)'!$G$2:$G$1222,"United Arab Emirates", 'Mediation Dataset (Sudans)'!$K$2:$K$1222,"G")</f>
        <v>7</v>
      </c>
      <c r="U144">
        <f>COUNTIFS('Mediation Dataset (Sudans)'!$G$2:$G$1222,"United Arab Emirates", 'Mediation Dataset (Sudans)'!$K$2:$K$1222,"R")</f>
        <v>1</v>
      </c>
      <c r="V144">
        <f t="shared" si="0"/>
        <v>8</v>
      </c>
    </row>
    <row r="145" spans="1:22">
      <c r="A145" s="8" t="s">
        <v>18</v>
      </c>
      <c r="B145">
        <f>COUNTIFS('Mediation Dataset (Sudans)'!$G$2:$G$1222,"South Sudan", 'Mediation Dataset (Sudans)'!$O$2:$O$1222,"=1")</f>
        <v>8</v>
      </c>
      <c r="C145">
        <f>COUNTIFS('Mediation Dataset (Sudans)'!$G$2:$G$1222,"South Sudan", 'Mediation Dataset (Sudans)'!$P$2:$P$1222,"=1")</f>
        <v>12</v>
      </c>
      <c r="D145">
        <f>COUNTIFS('Mediation Dataset (Sudans)'!$G$2:$G$1222,"South Sudan", 'Mediation Dataset (Sudans)'!$Q$2:$Q$1222,"=1")</f>
        <v>15</v>
      </c>
      <c r="E145">
        <f>COUNTIFS('Mediation Dataset (Sudans)'!$G$2:$G$1222,"South Sudan", 'Mediation Dataset (Sudans)'!$R$2:$R$1222,"=1")</f>
        <v>11</v>
      </c>
      <c r="F145">
        <f>COUNTIFS('Mediation Dataset (Sudans)'!$G$2:$G$1222,"South Sudan", 'Mediation Dataset (Sudans)'!$S$2:$S$1222,"=1")</f>
        <v>1</v>
      </c>
      <c r="G145">
        <f>COUNTIFS('Mediation Dataset (Sudans)'!$G$2:$G$1222,"South Sudan", 'Mediation Dataset (Sudans)'!$T$2:$T$1222,"=1")</f>
        <v>1</v>
      </c>
      <c r="H145">
        <f>COUNTIFS('Mediation Dataset (Sudans)'!$G$2:$G$1222,"South Sudan", 'Mediation Dataset (Sudans)'!$U$2:$U$1222,"=1")</f>
        <v>7</v>
      </c>
      <c r="I145">
        <f>COUNTIFS('Mediation Dataset (Sudans)'!$G$2:$G$1222,"South Sudan", 'Mediation Dataset (Sudans)'!$V$2:$V$1222,"=1")</f>
        <v>1</v>
      </c>
      <c r="K145" s="8" t="s">
        <v>18</v>
      </c>
      <c r="L145">
        <f>COUNTIFS('Mediation Dataset (Sudans)'!$G$2:$G$1222,"South Sudan", 'Mediation Dataset (Sudans)'!$K$2:$K$1222,"S")</f>
        <v>13</v>
      </c>
      <c r="M145">
        <v>8</v>
      </c>
      <c r="R145" s="8" t="s">
        <v>18</v>
      </c>
      <c r="S145">
        <f>COUNTIFS('Mediation Dataset (Sudans)'!$G$2:$G$1222,"South Sudan", 'Mediation Dataset (Sudans)'!$K$2:$K$1222,"S")</f>
        <v>13</v>
      </c>
      <c r="T145">
        <f>COUNTIFS('Mediation Dataset (Sudans)'!$G$2:$G$1222,"South Sudan", 'Mediation Dataset (Sudans)'!$K$2:$K$1222,"G")</f>
        <v>6</v>
      </c>
      <c r="U145">
        <f>COUNTIFS('Mediation Dataset (Sudans)'!$G$2:$G$1222,"South Sudan", 'Mediation Dataset (Sudans)'!$K$2:$K$1222,"R")</f>
        <v>2</v>
      </c>
      <c r="V145">
        <f t="shared" si="0"/>
        <v>8</v>
      </c>
    </row>
    <row r="146" spans="1:22">
      <c r="A146" s="8" t="s">
        <v>613</v>
      </c>
      <c r="B146">
        <f>COUNTIFS('Mediation Dataset (Sudans)'!$G$2:$G$1222,"Kuwait", 'Mediation Dataset (Sudans)'!$O$2:$O$1222,"=1")</f>
        <v>1</v>
      </c>
      <c r="C146">
        <f>COUNTIFS('Mediation Dataset (Sudans)'!$G$2:$G$1222,"Kuwait", 'Mediation Dataset (Sudans)'!$P$2:$P$1222,"=1")</f>
        <v>0</v>
      </c>
      <c r="D146">
        <f>COUNTIFS('Mediation Dataset (Sudans)'!$G$2:$G$1222,"Kuwait", 'Mediation Dataset (Sudans)'!$Q$2:$Q$1222,"=1")</f>
        <v>0</v>
      </c>
      <c r="E146">
        <f>COUNTIFS('Mediation Dataset (Sudans)'!$G$2:$G$1222,"Kuwait", 'Mediation Dataset (Sudans)'!$R$2:$R$1222,"=1")</f>
        <v>4</v>
      </c>
      <c r="F146">
        <f>COUNTIFS('Mediation Dataset (Sudans)'!$G$2:$G$1222,"Kuwait", 'Mediation Dataset (Sudans)'!$S$2:$S$1222,"=1")</f>
        <v>0</v>
      </c>
      <c r="G146">
        <f>COUNTIFS('Mediation Dataset (Sudans)'!$G$2:$G$1222,"Kuwait", 'Mediation Dataset (Sudans)'!$T$2:$T$1222,"=1")</f>
        <v>1</v>
      </c>
      <c r="H146">
        <f>COUNTIFS('Mediation Dataset (Sudans)'!$G$2:$G$1222,"Kuwait", 'Mediation Dataset (Sudans)'!$U$2:$U$1222,"=1")</f>
        <v>2</v>
      </c>
      <c r="I146">
        <f>COUNTIFS('Mediation Dataset (Sudans)'!$G$2:$G$1222,"Kuwait", 'Mediation Dataset (Sudans)'!$V$2:$V$1222,"=1")</f>
        <v>1</v>
      </c>
      <c r="K146" s="8" t="s">
        <v>613</v>
      </c>
      <c r="L146">
        <f>COUNTIFS('Mediation Dataset (Sudans)'!$G$2:$G$1222,"Kuwait", 'Mediation Dataset (Sudans)'!$K$2:$K$1222,"S")</f>
        <v>0</v>
      </c>
      <c r="M146">
        <v>4</v>
      </c>
      <c r="R146" s="8" t="s">
        <v>613</v>
      </c>
      <c r="S146">
        <f>COUNTIFS('Mediation Dataset (Sudans)'!$G$2:$G$1222,"Kuwait", 'Mediation Dataset (Sudans)'!$K$2:$K$1222,"S")</f>
        <v>0</v>
      </c>
      <c r="T146">
        <f>COUNTIFS('Mediation Dataset (Sudans)'!$G$2:$G$1222,"Kuwait", 'Mediation Dataset (Sudans)'!$K$2:$K$1222,"G")</f>
        <v>4</v>
      </c>
      <c r="U146">
        <f>COUNTIFS('Mediation Dataset (Sudans)'!$G$2:$G$1222,"Kuwait", 'Mediation Dataset (Sudans)'!$K$2:$K$1222,"R")</f>
        <v>0</v>
      </c>
      <c r="V146">
        <f t="shared" si="0"/>
        <v>4</v>
      </c>
    </row>
    <row r="229" spans="2:10">
      <c r="C229" s="6" t="s">
        <v>8</v>
      </c>
      <c r="D229" s="6" t="s">
        <v>9</v>
      </c>
      <c r="E229" s="6" t="s">
        <v>10</v>
      </c>
      <c r="F229" s="6" t="s">
        <v>307</v>
      </c>
      <c r="G229" s="6" t="s">
        <v>11</v>
      </c>
      <c r="H229" s="6" t="s">
        <v>12</v>
      </c>
      <c r="I229" s="6" t="s">
        <v>13</v>
      </c>
      <c r="J229" s="6" t="s">
        <v>14</v>
      </c>
    </row>
    <row r="230" spans="2:10">
      <c r="B230" t="s">
        <v>22</v>
      </c>
      <c r="C230">
        <f>COUNTIFS('Mediation Dataset (Sudans)'!$G$2:$G$1222,"Ethiopia", 'Mediation Dataset (Sudans)'!$O$2:$O$1222,"=1")</f>
        <v>7</v>
      </c>
      <c r="D230">
        <f>COUNTIFS('Mediation Dataset (Sudans)'!$G$2:$G$1222,"Ethiopia", 'Mediation Dataset (Sudans)'!$P$2:$P$1222,"=1")</f>
        <v>55</v>
      </c>
      <c r="E230">
        <f>COUNTIFS('Mediation Dataset (Sudans)'!$G$2:$G$1222,"Ethiopia", 'Mediation Dataset (Sudans)'!$Q$2:$Q$1222,"=1")</f>
        <v>26</v>
      </c>
      <c r="F230">
        <f>COUNTIFS('Mediation Dataset (Sudans)'!$G$2:$G$1222,"Ethiopia", 'Mediation Dataset (Sudans)'!$R$2:$R$1222,"=1")</f>
        <v>21</v>
      </c>
      <c r="G230">
        <f>COUNTIFS('Mediation Dataset (Sudans)'!$G$2:$G$1222,"Ethiopia", 'Mediation Dataset (Sudans)'!$S$2:$S$1222,"=1")</f>
        <v>3</v>
      </c>
      <c r="H230">
        <f>COUNTIFS('Mediation Dataset (Sudans)'!$G$2:$G$1222,"Ethiopia", 'Mediation Dataset (Sudans)'!$T$2:$T$1222,"=1")</f>
        <v>2</v>
      </c>
      <c r="I230">
        <f>COUNTIFS('Mediation Dataset (Sudans)'!$G$2:$G$1222,"Ethiopia", 'Mediation Dataset (Sudans)'!$U$2:$U$1222,"=1")</f>
        <v>9</v>
      </c>
      <c r="J230">
        <f>COUNTIFS('Mediation Dataset (Sudans)'!$G$2:$G$1222,"Ethiopia", 'Mediation Dataset (Sudans)'!$V$2:$V$1222,"=1")</f>
        <v>4</v>
      </c>
    </row>
    <row r="231" spans="2:10">
      <c r="B231" s="8" t="s">
        <v>152</v>
      </c>
      <c r="C231">
        <f>COUNTIFS('Mediation Dataset (Sudans)'!$G$2:$G$1222,"Kenya", 'Mediation Dataset (Sudans)'!$O$2:$O$1222,"=1")</f>
        <v>10</v>
      </c>
      <c r="D231">
        <f>COUNTIFS('Mediation Dataset (Sudans)'!$G$2:$G$1222,"Kenya", 'Mediation Dataset (Sudans)'!$P$2:$P$1222,"=1")</f>
        <v>49</v>
      </c>
      <c r="E231">
        <f>COUNTIFS('Mediation Dataset (Sudans)'!$G$2:$G$1222,"Kenya", 'Mediation Dataset (Sudans)'!$Q$2:$Q$1222,"=1")</f>
        <v>33</v>
      </c>
      <c r="F231">
        <f>COUNTIFS('Mediation Dataset (Sudans)'!$G$2:$G$1222,"Kenya", 'Mediation Dataset (Sudans)'!$R$2:$R$1222,"=1")</f>
        <v>19</v>
      </c>
      <c r="G231">
        <f>COUNTIFS('Mediation Dataset (Sudans)'!$G$2:$G$1222,"Kenya", 'Mediation Dataset (Sudans)'!$S$2:$S$1222,"=1")</f>
        <v>3</v>
      </c>
      <c r="H231">
        <f>COUNTIFS('Mediation Dataset (Sudans)'!$G$2:$G$1222,"Kenya", 'Mediation Dataset (Sudans)'!$T$2:$T$1222,"=1")</f>
        <v>2</v>
      </c>
      <c r="I231">
        <f>COUNTIFS('Mediation Dataset (Sudans)'!$G$2:$G$1222,"Kenya", 'Mediation Dataset (Sudans)'!$U$2:$U$1222,"=1")</f>
        <v>5</v>
      </c>
      <c r="J231">
        <f>COUNTIFS('Mediation Dataset (Sudans)'!$G$2:$G$1222,"Kenya", 'Mediation Dataset (Sudans)'!$V$2:$V$1222,"=1")</f>
        <v>5</v>
      </c>
    </row>
    <row r="232" spans="2:10">
      <c r="B232" s="8" t="s">
        <v>191</v>
      </c>
      <c r="C232">
        <f>COUNTIFS('Mediation Dataset (Sudans)'!$G$2:$G$1222,"Eritrea", 'Mediation Dataset (Sudans)'!$O$2:$O$1222,"=1")</f>
        <v>6</v>
      </c>
      <c r="D232">
        <f>COUNTIFS('Mediation Dataset (Sudans)'!$G$2:$G$1222,"Eritrea", 'Mediation Dataset (Sudans)'!$P$2:$P$1222,"=1")</f>
        <v>48</v>
      </c>
      <c r="E232">
        <f>COUNTIFS('Mediation Dataset (Sudans)'!$G$2:$G$1222,"Eritrea", 'Mediation Dataset (Sudans)'!$Q$2:$Q$1222,"=1")</f>
        <v>1</v>
      </c>
      <c r="F232">
        <f>COUNTIFS('Mediation Dataset (Sudans)'!$G$2:$G$1222,"Eritrea", 'Mediation Dataset (Sudans)'!$R$2:$R$1222,"=1")</f>
        <v>15</v>
      </c>
      <c r="G232">
        <f>COUNTIFS('Mediation Dataset (Sudans)'!$G$2:$G$1222,"Eritrea", 'Mediation Dataset (Sudans)'!$S$2:$S$1222,"=1")</f>
        <v>1</v>
      </c>
      <c r="H232">
        <f>COUNTIFS('Mediation Dataset (Sudans)'!$G$2:$G$1222,"Eritrea", 'Mediation Dataset (Sudans)'!$T$2:$T$1222,"=1")</f>
        <v>1</v>
      </c>
      <c r="I232">
        <f>COUNTIFS('Mediation Dataset (Sudans)'!$G$2:$G$1222,"Eritrea", 'Mediation Dataset (Sudans)'!$U$2:$U$1222,"=1")</f>
        <v>5</v>
      </c>
      <c r="J232">
        <f>COUNTIFS('Mediation Dataset (Sudans)'!$G$2:$G$1222,"Eritrea", 'Mediation Dataset (Sudans)'!$V$2:$V$1222,"=1")</f>
        <v>3</v>
      </c>
    </row>
    <row r="233" spans="2:10">
      <c r="B233" s="8" t="s">
        <v>192</v>
      </c>
      <c r="C233">
        <f>COUNTIFS('Mediation Dataset (Sudans)'!$G$2:$G$1222,"Uganda", 'Mediation Dataset (Sudans)'!$O$2:$O$1222,"=1")</f>
        <v>8</v>
      </c>
      <c r="D233">
        <f>COUNTIFS('Mediation Dataset (Sudans)'!$G$2:$G$1222,"Uganda", 'Mediation Dataset (Sudans)'!$P$2:$P$1222,"=1")</f>
        <v>56</v>
      </c>
      <c r="E233">
        <f>COUNTIFS('Mediation Dataset (Sudans)'!$G$2:$G$1222,"Uganda", 'Mediation Dataset (Sudans)'!$Q$2:$Q$1222,"=1")</f>
        <v>4</v>
      </c>
      <c r="F233">
        <f>COUNTIFS('Mediation Dataset (Sudans)'!$G$2:$G$1222,"Uganda", 'Mediation Dataset (Sudans)'!$R$2:$R$1222,"=1")</f>
        <v>16</v>
      </c>
      <c r="G233">
        <f>COUNTIFS('Mediation Dataset (Sudans)'!$G$2:$G$1222,"Uganda", 'Mediation Dataset (Sudans)'!$S$2:$S$1222,"=1")</f>
        <v>2</v>
      </c>
      <c r="H233">
        <f>COUNTIFS('Mediation Dataset (Sudans)'!$G$2:$G$1222,"Uganda", 'Mediation Dataset (Sudans)'!$T$2:$T$1222,"=1")</f>
        <v>1</v>
      </c>
      <c r="I233">
        <f>COUNTIFS('Mediation Dataset (Sudans)'!$G$2:$G$1222,"Uganda", 'Mediation Dataset (Sudans)'!$U$2:$U$1222,"=1")</f>
        <v>8</v>
      </c>
      <c r="J233">
        <f>COUNTIFS('Mediation Dataset (Sudans)'!$G$2:$G$1222,"Uganda", 'Mediation Dataset (Sudans)'!$V$2:$V$1222,"=1")</f>
        <v>4</v>
      </c>
    </row>
    <row r="234" spans="2:10">
      <c r="B234" s="8" t="s">
        <v>156</v>
      </c>
      <c r="C234">
        <f>COUNTIFS('Mediation Dataset (Sudans)'!$G$2:$G$1222,"Chad", 'Mediation Dataset (Sudans)'!$O$2:$O$1222,"=1")</f>
        <v>4</v>
      </c>
      <c r="D234">
        <f>COUNTIFS('Mediation Dataset (Sudans)'!$G$2:$G$1222,"Chad", 'Mediation Dataset (Sudans)'!$P$2:$P$1222,"=1")</f>
        <v>11</v>
      </c>
      <c r="E234">
        <f>COUNTIFS('Mediation Dataset (Sudans)'!$G$2:$G$1222,"Chad", 'Mediation Dataset (Sudans)'!$Q$2:$Q$1222,"=1")</f>
        <v>11</v>
      </c>
      <c r="F234">
        <f>COUNTIFS('Mediation Dataset (Sudans)'!$G$2:$G$1222,"Chad", 'Mediation Dataset (Sudans)'!$R$2:$R$1222,"=1")</f>
        <v>4</v>
      </c>
      <c r="G234">
        <f>COUNTIFS('Mediation Dataset (Sudans)'!$G$2:$G$1222,"Chad", 'Mediation Dataset (Sudans)'!$S$2:$S$1222,"=1")</f>
        <v>0</v>
      </c>
      <c r="H234">
        <f>COUNTIFS('Mediation Dataset (Sudans)'!$G$2:$G$1222,"Chad", 'Mediation Dataset (Sudans)'!$T$2:$T$1222,"=1")</f>
        <v>2</v>
      </c>
      <c r="I234">
        <f>COUNTIFS('Mediation Dataset (Sudans)'!$G$2:$G$1222,"Chad", 'Mediation Dataset (Sudans)'!$U$2:$U$1222,"=1")</f>
        <v>5</v>
      </c>
      <c r="J234">
        <f>COUNTIFS('Mediation Dataset (Sudans)'!$G$2:$G$1222,"Chad", 'Mediation Dataset (Sudans)'!$V$2:$V$1222,"=1")</f>
        <v>1</v>
      </c>
    </row>
    <row r="235" spans="2:10">
      <c r="B235" s="8" t="s">
        <v>60</v>
      </c>
      <c r="C235">
        <f>COUNTIFS('Mediation Dataset (Sudans)'!$G$2:$G$1222,"Sudan", 'Mediation Dataset (Sudans)'!$O$2:$O$1222,"=1")</f>
        <v>6</v>
      </c>
      <c r="D235">
        <f>COUNTIFS('Mediation Dataset (Sudans)'!$G$2:$G$1222,"Sudan", 'Mediation Dataset (Sudans)'!$P$2:$P$1222,"=1")</f>
        <v>20</v>
      </c>
      <c r="E235">
        <f>COUNTIFS('Mediation Dataset (Sudans)'!$G$2:$G$1222,"Sudan", 'Mediation Dataset (Sudans)'!$Q$2:$Q$1222,"=1")</f>
        <v>8</v>
      </c>
      <c r="F235">
        <f>COUNTIFS('Mediation Dataset (Sudans)'!$G$2:$G$1222,"Sudan", 'Mediation Dataset (Sudans)'!$R$2:$R$1222,"=1")</f>
        <v>6</v>
      </c>
      <c r="G235">
        <f>COUNTIFS('Mediation Dataset (Sudans)'!$G$2:$G$1222,"Sudan", 'Mediation Dataset (Sudans)'!$S$2:$S$1222,"=1")</f>
        <v>2</v>
      </c>
      <c r="H235">
        <f>COUNTIFS('Mediation Dataset (Sudans)'!$G$2:$G$1222,"Sudan", 'Mediation Dataset (Sudans)'!$T$2:$T$1222,"=1")</f>
        <v>0</v>
      </c>
      <c r="I235">
        <f>COUNTIFS('Mediation Dataset (Sudans)'!$G$2:$G$1222,"Sudan", 'Mediation Dataset (Sudans)'!$U$2:$U$1222,"=1")</f>
        <v>5</v>
      </c>
      <c r="J235">
        <f>COUNTIFS('Mediation Dataset (Sudans)'!$G$2:$G$1222,"Sudan", 'Mediation Dataset (Sudans)'!$V$2:$V$1222,"=1")</f>
        <v>4</v>
      </c>
    </row>
    <row r="236" spans="2:10">
      <c r="B236" s="8" t="s">
        <v>484</v>
      </c>
      <c r="C236">
        <f>COUNTIFS('Mediation Dataset (Sudans)'!$G$2:$G$1222,"Djibouti", 'Mediation Dataset (Sudans)'!$O$2:$O$1222,"=1")</f>
        <v>1</v>
      </c>
      <c r="D236">
        <f>COUNTIFS('Mediation Dataset (Sudans)'!$G$2:$G$1222,"Djibouti", 'Mediation Dataset (Sudans)'!$P$2:$P$1222,"=1")</f>
        <v>1</v>
      </c>
      <c r="E236">
        <f>COUNTIFS('Mediation Dataset (Sudans)'!$G$2:$G$1222,"Djibouti", 'Mediation Dataset (Sudans)'!$Q$2:$Q$1222,"=1")</f>
        <v>0</v>
      </c>
      <c r="F236">
        <f>COUNTIFS('Mediation Dataset (Sudans)'!$G$2:$G$1222,"Djibouti", 'Mediation Dataset (Sudans)'!$R$2:$R$1222,"=1")</f>
        <v>3</v>
      </c>
      <c r="G236">
        <f>COUNTIFS('Mediation Dataset (Sudans)'!$G$2:$G$1222,"Djibouti", 'Mediation Dataset (Sudans)'!$S$2:$S$1222,"=1")</f>
        <v>1</v>
      </c>
      <c r="H236">
        <f>COUNTIFS('Mediation Dataset (Sudans)'!$G$2:$G$1222,"Djibouti", 'Mediation Dataset (Sudans)'!$T$2:$T$1222,"=1")</f>
        <v>0</v>
      </c>
      <c r="I236">
        <f>COUNTIFS('Mediation Dataset (Sudans)'!$G$2:$G$1222,"Djibouti", 'Mediation Dataset (Sudans)'!$U$2:$U$1222,"=1")</f>
        <v>2</v>
      </c>
      <c r="J236">
        <f>COUNTIFS('Mediation Dataset (Sudans)'!$G$2:$G$1222,"Djibouti", 'Mediation Dataset (Sudans)'!$V$2:$V$1222,"=1")</f>
        <v>2</v>
      </c>
    </row>
    <row r="237" spans="2:10">
      <c r="B237" s="8" t="s">
        <v>485</v>
      </c>
      <c r="C237">
        <f>COUNTIFS('Mediation Dataset (Sudans)'!$G$2:$G$1222,"Somalia", 'Mediation Dataset (Sudans)'!$O$2:$O$1222,"=1")</f>
        <v>0</v>
      </c>
      <c r="D237">
        <f>COUNTIFS('Mediation Dataset (Sudans)'!$G$2:$G$1222,"Somalia", 'Mediation Dataset (Sudans)'!$P$2:$P$1222,"=1")</f>
        <v>1</v>
      </c>
      <c r="E237">
        <f>COUNTIFS('Mediation Dataset (Sudans)'!$G$2:$G$1222,"Somalia", 'Mediation Dataset (Sudans)'!$Q$2:$Q$1222,"=1")</f>
        <v>0</v>
      </c>
      <c r="F237">
        <f>COUNTIFS('Mediation Dataset (Sudans)'!$G$2:$G$1222,"Somalia", 'Mediation Dataset (Sudans)'!$R$2:$R$1222,"=1")</f>
        <v>3</v>
      </c>
      <c r="G237">
        <f>COUNTIFS('Mediation Dataset (Sudans)'!$G$2:$G$1222,"Somalia", 'Mediation Dataset (Sudans)'!$S$2:$S$1222,"=1")</f>
        <v>1</v>
      </c>
      <c r="H237">
        <f>COUNTIFS('Mediation Dataset (Sudans)'!$G$2:$G$1222,"Somalia", 'Mediation Dataset (Sudans)'!$T$2:$T$1222,"=1")</f>
        <v>0</v>
      </c>
      <c r="I237">
        <f>COUNTIFS('Mediation Dataset (Sudans)'!$G$2:$G$1222,"Somalia", 'Mediation Dataset (Sudans)'!$U$2:$U$1222,"=1")</f>
        <v>2</v>
      </c>
      <c r="J237">
        <f>COUNTIFS('Mediation Dataset (Sudans)'!$G$2:$G$1222,"Somalia", 'Mediation Dataset (Sudans)'!$V$2:$V$1222,"=1")</f>
        <v>1</v>
      </c>
    </row>
    <row r="238" spans="2:10">
      <c r="B238" s="8" t="s">
        <v>482</v>
      </c>
      <c r="C238">
        <f>COUNTIFS('Mediation Dataset (Sudans)'!$G$2:$G$1222,"Rwanda", 'Mediation Dataset (Sudans)'!$O$2:$O$1222,"=1")</f>
        <v>1</v>
      </c>
      <c r="D238">
        <f>COUNTIFS('Mediation Dataset (Sudans)'!$G$2:$G$1222,"Rwanda", 'Mediation Dataset (Sudans)'!$P$2:$P$1222,"=1")</f>
        <v>0</v>
      </c>
      <c r="E238">
        <f>COUNTIFS('Mediation Dataset (Sudans)'!$G$2:$G$1222,"Rwanda", 'Mediation Dataset (Sudans)'!$Q$2:$Q$1222,"=1")</f>
        <v>0</v>
      </c>
      <c r="F238">
        <f>COUNTIFS('Mediation Dataset (Sudans)'!$G$2:$G$1222,"Rwanda", 'Mediation Dataset (Sudans)'!$R$2:$R$1222,"=1")</f>
        <v>2</v>
      </c>
      <c r="G238">
        <f>COUNTIFS('Mediation Dataset (Sudans)'!$G$2:$G$1222,"Rwanda", 'Mediation Dataset (Sudans)'!$S$2:$S$1222,"=1")</f>
        <v>0</v>
      </c>
      <c r="H238">
        <f>COUNTIFS('Mediation Dataset (Sudans)'!$G$2:$G$1222,"Rwanda", 'Mediation Dataset (Sudans)'!$T$2:$T$1222,"=1")</f>
        <v>0</v>
      </c>
      <c r="I238">
        <f>COUNTIFS('Mediation Dataset (Sudans)'!$G$2:$G$1222,"Rwanda", 'Mediation Dataset (Sudans)'!$U$2:$U$1222,"=1")</f>
        <v>3</v>
      </c>
      <c r="J238">
        <f>COUNTIFS('Mediation Dataset (Sudans)'!$G$2:$G$1222,"Rwanda", 'Mediation Dataset (Sudans)'!$V$2:$V$1222,"=1")</f>
        <v>0</v>
      </c>
    </row>
    <row r="239" spans="2:10">
      <c r="B239" s="8" t="s">
        <v>18</v>
      </c>
      <c r="C239">
        <f>COUNTIFS('Mediation Dataset (Sudans)'!$G$2:$G$1222,"South Sudan", 'Mediation Dataset (Sudans)'!$O$2:$O$1222,"=1")</f>
        <v>8</v>
      </c>
      <c r="D239">
        <f>COUNTIFS('Mediation Dataset (Sudans)'!$G$2:$G$1222,"South Sudan", 'Mediation Dataset (Sudans)'!$P$2:$P$1222,"=1")</f>
        <v>12</v>
      </c>
      <c r="E239">
        <f>COUNTIFS('Mediation Dataset (Sudans)'!$G$2:$G$1222,"South Sudan", 'Mediation Dataset (Sudans)'!$Q$2:$Q$1222,"=1")</f>
        <v>15</v>
      </c>
      <c r="F239">
        <f>COUNTIFS('Mediation Dataset (Sudans)'!$G$2:$G$1222,"South Sudan", 'Mediation Dataset (Sudans)'!$R$2:$R$1222,"=1")</f>
        <v>11</v>
      </c>
      <c r="G239">
        <f>COUNTIFS('Mediation Dataset (Sudans)'!$G$2:$G$1222,"South Sudan", 'Mediation Dataset (Sudans)'!$S$2:$S$1222,"=1")</f>
        <v>1</v>
      </c>
      <c r="H239">
        <f>COUNTIFS('Mediation Dataset (Sudans)'!$G$2:$G$1222,"South Sudan", 'Mediation Dataset (Sudans)'!$T$2:$T$1222,"=1")</f>
        <v>1</v>
      </c>
      <c r="I239">
        <f>COUNTIFS('Mediation Dataset (Sudans)'!$G$2:$G$1222,"South Sudan", 'Mediation Dataset (Sudans)'!$U$2:$U$1222,"=1")</f>
        <v>7</v>
      </c>
      <c r="J239">
        <f>COUNTIFS('Mediation Dataset (Sudans)'!$G$2:$G$1222,"South Sudan", 'Mediation Dataset (Sudans)'!$V$2:$V$1222,"=1")</f>
        <v>1</v>
      </c>
    </row>
    <row r="241" spans="2:10">
      <c r="C241" s="6" t="s">
        <v>8</v>
      </c>
      <c r="D241" s="6" t="s">
        <v>9</v>
      </c>
      <c r="E241" s="6" t="s">
        <v>10</v>
      </c>
      <c r="F241" s="6" t="s">
        <v>307</v>
      </c>
      <c r="G241" s="6" t="s">
        <v>11</v>
      </c>
      <c r="H241" s="6" t="s">
        <v>12</v>
      </c>
      <c r="I241" s="6" t="s">
        <v>13</v>
      </c>
      <c r="J241" s="6" t="s">
        <v>14</v>
      </c>
    </row>
    <row r="242" spans="2:10">
      <c r="B242" s="8" t="s">
        <v>157</v>
      </c>
      <c r="C242">
        <f>COUNTIFS('Mediation Dataset (Sudans)'!$G$2:$G$1222,"Qatar", 'Mediation Dataset (Sudans)'!$O$2:$O$1222,"=1")</f>
        <v>2</v>
      </c>
      <c r="D242">
        <f>COUNTIFS('Mediation Dataset (Sudans)'!$G$2:$G$1222,"Qatar", 'Mediation Dataset (Sudans)'!$P$2:$P$1222,"=1")</f>
        <v>6</v>
      </c>
      <c r="E242">
        <f>COUNTIFS('Mediation Dataset (Sudans)'!$G$2:$G$1222,"Qatar", 'Mediation Dataset (Sudans)'!$Q$2:$Q$1222,"=1")</f>
        <v>7</v>
      </c>
      <c r="F242">
        <f>COUNTIFS('Mediation Dataset (Sudans)'!$G$2:$G$1222,"Qatar", 'Mediation Dataset (Sudans)'!$R$2:$R$1222,"=1")</f>
        <v>5</v>
      </c>
      <c r="G242">
        <f>COUNTIFS('Mediation Dataset (Sudans)'!$G$2:$G$1222,"Qatar", 'Mediation Dataset (Sudans)'!$S$2:$S$1222,"=1")</f>
        <v>2</v>
      </c>
      <c r="H242">
        <f>COUNTIFS('Mediation Dataset (Sudans)'!$G$2:$G$1222,"Qatar", 'Mediation Dataset (Sudans)'!$T$2:$T$1222,"=1")</f>
        <v>2</v>
      </c>
      <c r="I242">
        <f>COUNTIFS('Mediation Dataset (Sudans)'!$G$2:$G$1222,"Qatar", 'Mediation Dataset (Sudans)'!$U$2:$U$1222,"=1")</f>
        <v>5</v>
      </c>
      <c r="J242">
        <f>COUNTIFS('Mediation Dataset (Sudans)'!$G$2:$G$1222,"Qatar", 'Mediation Dataset (Sudans)'!$V$2:$V$1222,"=1")</f>
        <v>4</v>
      </c>
    </row>
    <row r="244" spans="2:10">
      <c r="C244" s="6" t="s">
        <v>8</v>
      </c>
      <c r="D244" s="6" t="s">
        <v>9</v>
      </c>
      <c r="E244" s="6" t="s">
        <v>10</v>
      </c>
      <c r="F244" s="6" t="s">
        <v>307</v>
      </c>
      <c r="G244" s="6" t="s">
        <v>11</v>
      </c>
      <c r="H244" s="6" t="s">
        <v>12</v>
      </c>
      <c r="I244" s="6" t="s">
        <v>13</v>
      </c>
      <c r="J244" s="6" t="s">
        <v>14</v>
      </c>
    </row>
    <row r="245" spans="2:10">
      <c r="B245" s="8" t="s">
        <v>155</v>
      </c>
      <c r="C245">
        <f>COUNTIFS('Mediation Dataset (Sudans)'!$G$2:$G$1222,"Saudi Arabia", 'Mediation Dataset (Sudans)'!$O$2:$O$1222,"=1")</f>
        <v>2</v>
      </c>
      <c r="D245">
        <f>COUNTIFS('Mediation Dataset (Sudans)'!$G$2:$G$1222,"Saudi Arabia", 'Mediation Dataset (Sudans)'!$P$2:$P$1222,"=1")</f>
        <v>2</v>
      </c>
      <c r="E245">
        <f>COUNTIFS('Mediation Dataset (Sudans)'!$G$2:$G$1222,"Saudi Arabia", 'Mediation Dataset (Sudans)'!$Q$2:$Q$1222,"=1")</f>
        <v>1</v>
      </c>
      <c r="F245">
        <f>COUNTIFS('Mediation Dataset (Sudans)'!$G$2:$G$1222,"Saudi Arabia", 'Mediation Dataset (Sudans)'!$R$2:$R$1222,"=1")</f>
        <v>6</v>
      </c>
      <c r="G245">
        <f>COUNTIFS('Mediation Dataset (Sudans)'!$G$2:$G$1222,"Saudi Arabia", 'Mediation Dataset (Sudans)'!$S$2:$S$1222,"=1")</f>
        <v>2</v>
      </c>
      <c r="H245">
        <f>COUNTIFS('Mediation Dataset (Sudans)'!$G$2:$G$1222,"Saudi Arabia", 'Mediation Dataset (Sudans)'!$T$2:$T$1222,"=1")</f>
        <v>2</v>
      </c>
      <c r="I245">
        <f>COUNTIFS('Mediation Dataset (Sudans)'!$G$2:$G$1222,"Saudi Arabia", 'Mediation Dataset (Sudans)'!$U$2:$U$1222,"=1")</f>
        <v>2</v>
      </c>
      <c r="J245">
        <f>COUNTIFS('Mediation Dataset (Sudans)'!$G$2:$G$1222,"Saudi Arabia", 'Mediation Dataset (Sudans)'!$V$2:$V$1222,"=1")</f>
        <v>5</v>
      </c>
    </row>
    <row r="247" spans="2:10">
      <c r="C247" s="6" t="s">
        <v>8</v>
      </c>
      <c r="D247" s="6" t="s">
        <v>9</v>
      </c>
      <c r="E247" s="6" t="s">
        <v>10</v>
      </c>
      <c r="F247" s="6" t="s">
        <v>307</v>
      </c>
      <c r="G247" s="6" t="s">
        <v>11</v>
      </c>
      <c r="H247" s="6" t="s">
        <v>12</v>
      </c>
      <c r="I247" s="6" t="s">
        <v>13</v>
      </c>
      <c r="J247" s="6" t="s">
        <v>14</v>
      </c>
    </row>
    <row r="248" spans="2:10">
      <c r="B248" s="8" t="s">
        <v>615</v>
      </c>
      <c r="C248">
        <f>COUNTIFS('Mediation Dataset (Sudans)'!$G$2:$G$1222,"United Arab Emirates", 'Mediation Dataset (Sudans)'!$O$2:$O$1222,"=1")</f>
        <v>2</v>
      </c>
      <c r="D248">
        <f>COUNTIFS('Mediation Dataset (Sudans)'!$G$2:$G$1222,"United Arab Emirates", 'Mediation Dataset (Sudans)'!$P$2:$P$1222,"=1")</f>
        <v>1</v>
      </c>
      <c r="E248">
        <f>COUNTIFS('Mediation Dataset (Sudans)'!$G$2:$G$1222,"United Arab Emirates", 'Mediation Dataset (Sudans)'!$Q$2:$Q$1222,"=1")</f>
        <v>0</v>
      </c>
      <c r="F248">
        <f>COUNTIFS('Mediation Dataset (Sudans)'!$G$2:$G$1222,"United Arab Emirates", 'Mediation Dataset (Sudans)'!$R$2:$R$1222,"=1")</f>
        <v>5</v>
      </c>
      <c r="G248">
        <f>COUNTIFS('Mediation Dataset (Sudans)'!$G$2:$G$1222,"United Arab Emirates", 'Mediation Dataset (Sudans)'!$S$2:$S$1222,"=1")</f>
        <v>3</v>
      </c>
      <c r="H248">
        <f>COUNTIFS('Mediation Dataset (Sudans)'!$G$2:$G$1222,"United Arab Emirates", 'Mediation Dataset (Sudans)'!$T$2:$T$1222,"=1")</f>
        <v>1</v>
      </c>
      <c r="I248">
        <f>COUNTIFS('Mediation Dataset (Sudans)'!$G$2:$G$1222,"United Arab Emirates", 'Mediation Dataset (Sudans)'!$U$2:$U$1222,"=1")</f>
        <v>2</v>
      </c>
      <c r="J248">
        <f>COUNTIFS('Mediation Dataset (Sudans)'!$G$2:$G$1222,"United Arab Emirates", 'Mediation Dataset (Sudans)'!$V$2:$V$1222,"=1")</f>
        <v>6</v>
      </c>
    </row>
    <row r="250" spans="2:10">
      <c r="C250" s="6" t="s">
        <v>8</v>
      </c>
      <c r="D250" s="6" t="s">
        <v>9</v>
      </c>
      <c r="E250" s="6" t="s">
        <v>10</v>
      </c>
      <c r="F250" s="6" t="s">
        <v>307</v>
      </c>
      <c r="G250" s="6" t="s">
        <v>11</v>
      </c>
      <c r="H250" s="6" t="s">
        <v>12</v>
      </c>
      <c r="I250" s="6" t="s">
        <v>13</v>
      </c>
      <c r="J250" s="6" t="s">
        <v>14</v>
      </c>
    </row>
    <row r="251" spans="2:10">
      <c r="B251" s="8" t="s">
        <v>613</v>
      </c>
      <c r="C251">
        <f>COUNTIFS('Mediation Dataset (Sudans)'!$G$2:$G$1222,"Kuwait", 'Mediation Dataset (Sudans)'!$O$2:$O$1222,"=1")</f>
        <v>1</v>
      </c>
      <c r="D251">
        <f>COUNTIFS('Mediation Dataset (Sudans)'!$G$2:$G$1222,"Kuwait", 'Mediation Dataset (Sudans)'!$P$2:$P$1222,"=1")</f>
        <v>0</v>
      </c>
      <c r="E251">
        <f>COUNTIFS('Mediation Dataset (Sudans)'!$G$2:$G$1222,"Kuwait", 'Mediation Dataset (Sudans)'!$Q$2:$Q$1222,"=1")</f>
        <v>0</v>
      </c>
      <c r="F251">
        <f>COUNTIFS('Mediation Dataset (Sudans)'!$G$2:$G$1222,"Kuwait", 'Mediation Dataset (Sudans)'!$R$2:$R$1222,"=1")</f>
        <v>4</v>
      </c>
      <c r="G251">
        <f>COUNTIFS('Mediation Dataset (Sudans)'!$G$2:$G$1222,"Kuwait", 'Mediation Dataset (Sudans)'!$S$2:$S$1222,"=1")</f>
        <v>0</v>
      </c>
      <c r="H251">
        <f>COUNTIFS('Mediation Dataset (Sudans)'!$G$2:$G$1222,"Kuwait", 'Mediation Dataset (Sudans)'!$T$2:$T$1222,"=1")</f>
        <v>1</v>
      </c>
      <c r="I251">
        <f>COUNTIFS('Mediation Dataset (Sudans)'!$G$2:$G$1222,"Kuwait", 'Mediation Dataset (Sudans)'!$U$2:$U$1222,"=1")</f>
        <v>2</v>
      </c>
      <c r="J251">
        <f>COUNTIFS('Mediation Dataset (Sudans)'!$G$2:$G$1222,"Kuwait", 'Mediation Dataset (Sudans)'!$V$2:$V$1222,"=1")</f>
        <v>1</v>
      </c>
    </row>
    <row r="278" spans="1:37" ht="29.5">
      <c r="A278" s="58" t="s">
        <v>62</v>
      </c>
    </row>
    <row r="280" spans="1:37">
      <c r="A280" s="40" t="s">
        <v>1226</v>
      </c>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row>
    <row r="281" spans="1:37">
      <c r="A281" s="5"/>
      <c r="B281" s="41">
        <v>1988</v>
      </c>
      <c r="C281" s="41">
        <v>1989</v>
      </c>
      <c r="D281" s="41">
        <v>1990</v>
      </c>
      <c r="E281" s="41">
        <v>1991</v>
      </c>
      <c r="F281" s="41">
        <v>1992</v>
      </c>
      <c r="G281" s="41">
        <v>1993</v>
      </c>
      <c r="H281" s="41">
        <v>1994</v>
      </c>
      <c r="I281" s="41">
        <v>1995</v>
      </c>
      <c r="J281" s="41">
        <v>1996</v>
      </c>
      <c r="K281" s="41">
        <v>1997</v>
      </c>
      <c r="L281" s="41">
        <v>1998</v>
      </c>
      <c r="M281" s="41">
        <v>1999</v>
      </c>
      <c r="N281" s="41">
        <v>2000</v>
      </c>
      <c r="O281" s="41">
        <v>2001</v>
      </c>
      <c r="P281" s="41">
        <v>2002</v>
      </c>
      <c r="Q281" s="41">
        <v>2003</v>
      </c>
      <c r="R281" s="41">
        <v>2004</v>
      </c>
      <c r="S281" s="41">
        <v>2005</v>
      </c>
      <c r="T281" s="41">
        <v>2006</v>
      </c>
      <c r="U281" s="41">
        <v>2007</v>
      </c>
      <c r="V281" s="41">
        <v>2008</v>
      </c>
      <c r="W281" s="41">
        <v>2009</v>
      </c>
      <c r="X281" s="41">
        <v>2010</v>
      </c>
      <c r="Y281" s="41">
        <v>2011</v>
      </c>
      <c r="Z281" s="41">
        <v>2012</v>
      </c>
      <c r="AA281" s="41">
        <v>2013</v>
      </c>
      <c r="AB281" s="41">
        <v>2014</v>
      </c>
      <c r="AC281" s="41">
        <v>2015</v>
      </c>
      <c r="AD281" s="41">
        <v>2016</v>
      </c>
      <c r="AE281" s="41">
        <v>2017</v>
      </c>
      <c r="AF281" s="41">
        <v>2018</v>
      </c>
      <c r="AG281" s="41">
        <v>2019</v>
      </c>
      <c r="AH281" s="41">
        <v>2020</v>
      </c>
      <c r="AI281" s="41">
        <v>2021</v>
      </c>
      <c r="AJ281" s="41">
        <v>2022</v>
      </c>
      <c r="AK281" s="41">
        <v>2023</v>
      </c>
    </row>
    <row r="282" spans="1:37">
      <c r="A282" s="63" t="s">
        <v>62</v>
      </c>
      <c r="B282" s="41">
        <v>0</v>
      </c>
      <c r="C282" s="41">
        <v>0</v>
      </c>
      <c r="D282" s="41">
        <v>0</v>
      </c>
      <c r="E282" s="41">
        <v>0</v>
      </c>
      <c r="F282" s="41">
        <v>0</v>
      </c>
      <c r="G282" s="41">
        <v>0</v>
      </c>
      <c r="H282" s="41">
        <v>0</v>
      </c>
      <c r="I282" s="41">
        <v>0</v>
      </c>
      <c r="J282" s="41">
        <v>0</v>
      </c>
      <c r="K282" s="41">
        <v>0</v>
      </c>
      <c r="L282" s="41">
        <v>0</v>
      </c>
      <c r="M282" s="41">
        <v>0</v>
      </c>
      <c r="N282" s="41" cm="1">
        <f t="array" ref="N282">SUMPRODUCT((LEN('Mediation Dataset (Sudans)'!G355:G370)-LEN(SUBSTITUTE('Mediation Dataset (Sudans)'!G355:G370,A282,"")))/LEN(A282))</f>
        <v>0</v>
      </c>
      <c r="O282" s="41">
        <v>0</v>
      </c>
      <c r="P282" s="41" cm="1">
        <f t="array" ref="P282">SUMPRODUCT((LEN('Mediation Dataset (Sudans)'!G373:G420)-LEN(SUBSTITUTE('Mediation Dataset (Sudans)'!G373:G420,A282,"")))/LEN(A282))</f>
        <v>0</v>
      </c>
      <c r="Q282" s="41" cm="1">
        <f t="array" ref="Q282">SUMPRODUCT((LEN('Mediation Dataset (Sudans)'!G421:G536)-LEN(SUBSTITUTE('Mediation Dataset (Sudans)'!G421:G536,A282,"")))/LEN(A282))</f>
        <v>1</v>
      </c>
      <c r="R282" s="41" cm="1">
        <f t="array" ref="R282">SUMPRODUCT((LEN('Mediation Dataset (Sudans)'!G537:G613)-LEN(SUBSTITUTE('Mediation Dataset (Sudans)'!G537:G613,A282,"")))/LEN(A282))</f>
        <v>0</v>
      </c>
      <c r="S282" s="41" cm="1">
        <f t="array" ref="S282">SUMPRODUCT((LEN('Mediation Dataset (Sudans)'!G614:G634)-LEN(SUBSTITUTE('Mediation Dataset (Sudans)'!G614:G634,A282,"")))/LEN(A282))</f>
        <v>0</v>
      </c>
      <c r="T282" s="41">
        <v>0</v>
      </c>
      <c r="U282" s="41">
        <v>0</v>
      </c>
      <c r="V282" s="41">
        <v>0</v>
      </c>
      <c r="W282" s="41">
        <v>0</v>
      </c>
      <c r="X282" s="41">
        <v>0</v>
      </c>
      <c r="Y282" s="41">
        <v>0</v>
      </c>
      <c r="Z282" s="41">
        <v>0</v>
      </c>
      <c r="AA282" s="41" cm="1">
        <f t="array" ref="AA282">SUMPRODUCT((LEN('Mediation Dataset (Sudans)'!G695:G732)-LEN(SUBSTITUTE('Mediation Dataset (Sudans)'!G695:G732,A282,"")))/LEN(A282))</f>
        <v>0</v>
      </c>
      <c r="AB282" s="41" cm="1">
        <f t="array" ref="AB282">SUMPRODUCT((LEN('Mediation Dataset (Sudans)'!G733:G749)-LEN(SUBSTITUTE('Mediation Dataset (Sudans)'!G733:G749,A282,"")))/LEN(A282))</f>
        <v>0</v>
      </c>
      <c r="AC282" s="41" cm="1">
        <f t="array" ref="AC282">SUMPRODUCT((LEN('Mediation Dataset (Sudans)'!G750:G834)-LEN(SUBSTITUTE('Mediation Dataset (Sudans)'!G750:G834,A282,"")))/LEN(A282))</f>
        <v>1</v>
      </c>
      <c r="AD282" s="41" cm="1">
        <f t="array" ref="AD282">SUMPRODUCT((LEN('Mediation Dataset (Sudans)'!G835:G848)-LEN(SUBSTITUTE('Mediation Dataset (Sudans)'!G835:G848,A282,"")))/LEN(A282))</f>
        <v>0</v>
      </c>
      <c r="AE282" s="41" cm="1">
        <f t="array" ref="AE282">SUMPRODUCT((LEN('Mediation Dataset (Sudans)'!G850:G884)-LEN(SUBSTITUTE('Mediation Dataset (Sudans)'!G850:G884,A282,"")))/LEN(A282))</f>
        <v>0</v>
      </c>
      <c r="AF282" s="41" cm="1">
        <f t="array" ref="AF282">SUMPRODUCT((LEN('Mediation Dataset (Sudans)'!G885:G989)-LEN(SUBSTITUTE('Mediation Dataset (Sudans)'!G885:G989,A282,"")))/LEN(A282))</f>
        <v>1</v>
      </c>
      <c r="AG282" s="41" cm="1">
        <f t="array" ref="AG282">SUMPRODUCT((LEN('Mediation Dataset (Sudans)'!G990:G1022)-LEN(SUBSTITUTE('Mediation Dataset (Sudans)'!G990:G1022,A282,"")))/LEN(A282))</f>
        <v>0</v>
      </c>
      <c r="AH282" s="41" cm="1">
        <f t="array" ref="AH282">SUMPRODUCT((LEN('Mediation Dataset (Sudans)'!G1023:G1278)-LEN(SUBSTITUTE('Mediation Dataset (Sudans)'!G1023:G1278,A282,"")))/LEN(A282))</f>
        <v>1</v>
      </c>
      <c r="AI282" s="41" cm="1">
        <f t="array" ref="AI282">SUMPRODUCT((LEN('Mediation Dataset (Sudans)'!G1279:G1401)-LEN(SUBSTITUTE('Mediation Dataset (Sudans)'!G1279:G1401,A282,"")))/LEN(A282))</f>
        <v>0</v>
      </c>
      <c r="AJ282" s="41" cm="1">
        <f t="array" ref="AJ282">SUMPRODUCT((LEN('Mediation Dataset (Sudans)'!G1402:G1452)-LEN(SUBSTITUTE('Mediation Dataset (Sudans)'!G1402:G1452,A282,"")))/LEN(A282))</f>
        <v>0</v>
      </c>
      <c r="AK282" s="41">
        <v>0</v>
      </c>
    </row>
    <row r="284" spans="1:37">
      <c r="A284" s="44" t="s">
        <v>1225</v>
      </c>
      <c r="B284" s="45"/>
      <c r="C284" s="45"/>
      <c r="D284" s="45"/>
      <c r="E284" s="45"/>
      <c r="F284" s="45"/>
      <c r="G284" s="45"/>
      <c r="H284" s="45"/>
      <c r="I284" s="45"/>
      <c r="J284" s="45"/>
      <c r="L284" s="54" t="s">
        <v>1228</v>
      </c>
      <c r="M284" s="53"/>
      <c r="N284" s="53"/>
      <c r="O284" s="53"/>
    </row>
    <row r="285" spans="1:37">
      <c r="A285" s="45"/>
      <c r="B285" s="6" t="s">
        <v>8</v>
      </c>
      <c r="C285" s="6" t="s">
        <v>9</v>
      </c>
      <c r="D285" s="6" t="s">
        <v>10</v>
      </c>
      <c r="E285" s="6" t="s">
        <v>307</v>
      </c>
      <c r="F285" s="6" t="s">
        <v>11</v>
      </c>
      <c r="G285" s="6" t="s">
        <v>12</v>
      </c>
      <c r="H285" s="6" t="s">
        <v>13</v>
      </c>
      <c r="I285" s="6" t="s">
        <v>14</v>
      </c>
      <c r="J285" s="45"/>
      <c r="L285" s="53"/>
      <c r="M285" s="3" t="s">
        <v>1179</v>
      </c>
      <c r="N285" s="3" t="s">
        <v>1227</v>
      </c>
      <c r="O285" s="53"/>
    </row>
    <row r="286" spans="1:37">
      <c r="A286" s="46" t="s">
        <v>62</v>
      </c>
      <c r="B286" s="45">
        <f>COUNTIFS('Mediation Dataset (Sudans)'!$G$2:$G$1222,"Russia", 'Mediation Dataset (Sudans)'!$O$2:$O$1222,"=1")</f>
        <v>0</v>
      </c>
      <c r="C286" s="45">
        <f>COUNTIFS('Mediation Dataset (Sudans)'!$G$2:$G$1222,"Russia", 'Mediation Dataset (Sudans)'!$P$2:$P$1222,"=1")</f>
        <v>2</v>
      </c>
      <c r="D286" s="45">
        <f>COUNTIFS('Mediation Dataset (Sudans)'!$G$2:$G$1222,"Russia", 'Mediation Dataset (Sudans)'!$Q$2:$Q$1222,"=1")</f>
        <v>1</v>
      </c>
      <c r="E286" s="45">
        <f>COUNTIFS('Mediation Dataset (Sudans)'!$G$2:$G$1222,"Russia", 'Mediation Dataset (Sudans)'!$R$2:$R$1222,"=1")</f>
        <v>3</v>
      </c>
      <c r="F286" s="45">
        <f>COUNTIFS('Mediation Dataset (Sudans)'!$G$2:$G$1222,"Russia", 'Mediation Dataset (Sudans)'!$S$2:$S$1222,"=1")</f>
        <v>0</v>
      </c>
      <c r="G286" s="45">
        <f>COUNTIFS('Mediation Dataset (Sudans)'!$G$2:$G$1222,"Russia", 'Mediation Dataset (Sudans)'!$T$2:$T$1222,"=1")</f>
        <v>1</v>
      </c>
      <c r="H286" s="45">
        <f>COUNTIFS('Mediation Dataset (Sudans)'!$G$2:$G$1222,"Russia", 'Mediation Dataset (Sudans)'!$U$2:$U$1222,"=1")</f>
        <v>3</v>
      </c>
      <c r="I286" s="45">
        <f>COUNTIFS('Mediation Dataset (Sudans)'!$G$2:$G$1222,"Russia", 'Mediation Dataset (Sudans)'!$V$2:$V$1222,"=1")</f>
        <v>0</v>
      </c>
      <c r="J286" s="45">
        <f>SUM(B286:I286)</f>
        <v>10</v>
      </c>
      <c r="L286" s="55" t="s">
        <v>62</v>
      </c>
      <c r="M286" s="53">
        <f>COUNTIFS('Mediation Dataset (Sudans)'!$G$2:$G$1222,"Russia", 'Mediation Dataset (Sudans)'!$K$2:$K$1222,"S")</f>
        <v>1</v>
      </c>
      <c r="N286" s="53">
        <v>4</v>
      </c>
      <c r="O286" s="53"/>
    </row>
    <row r="287" spans="1:37">
      <c r="A287" s="45"/>
      <c r="B287" s="6" t="s">
        <v>8</v>
      </c>
      <c r="C287" s="6" t="s">
        <v>9</v>
      </c>
      <c r="D287" s="6" t="s">
        <v>10</v>
      </c>
      <c r="E287" s="6" t="s">
        <v>307</v>
      </c>
      <c r="F287" s="6" t="s">
        <v>11</v>
      </c>
      <c r="G287" s="6" t="s">
        <v>12</v>
      </c>
      <c r="H287" s="6" t="s">
        <v>13</v>
      </c>
      <c r="I287" s="6" t="s">
        <v>14</v>
      </c>
      <c r="J287" s="45"/>
    </row>
    <row r="288" spans="1:37">
      <c r="A288" s="46" t="s">
        <v>1211</v>
      </c>
      <c r="B288" s="45">
        <f>(B286/J286)*100</f>
        <v>0</v>
      </c>
      <c r="C288" s="45">
        <f>(C286/J286)*100</f>
        <v>20</v>
      </c>
      <c r="D288" s="45">
        <f>(D286/J286)*100</f>
        <v>10</v>
      </c>
      <c r="E288" s="45">
        <f>(E286/J286)*100</f>
        <v>30</v>
      </c>
      <c r="F288" s="45">
        <f>(F286/J286)*100</f>
        <v>0</v>
      </c>
      <c r="G288" s="45">
        <f>(G286/J286)*100</f>
        <v>10</v>
      </c>
      <c r="H288" s="45">
        <f>(H286/J286)*100</f>
        <v>30</v>
      </c>
      <c r="I288" s="45">
        <f>(I286/J286)*100</f>
        <v>0</v>
      </c>
      <c r="J288" s="45"/>
    </row>
    <row r="321" spans="1:37" ht="29.5">
      <c r="A321" s="58" t="s">
        <v>249</v>
      </c>
    </row>
    <row r="322" spans="1:37">
      <c r="A322" s="40" t="s">
        <v>1224</v>
      </c>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row>
    <row r="323" spans="1:37">
      <c r="A323" s="5"/>
      <c r="B323" s="41">
        <v>1988</v>
      </c>
      <c r="C323" s="41">
        <v>1989</v>
      </c>
      <c r="D323" s="41">
        <v>1990</v>
      </c>
      <c r="E323" s="41">
        <v>1991</v>
      </c>
      <c r="F323" s="41">
        <v>1992</v>
      </c>
      <c r="G323" s="41">
        <v>1993</v>
      </c>
      <c r="H323" s="41">
        <v>1994</v>
      </c>
      <c r="I323" s="41">
        <v>1995</v>
      </c>
      <c r="J323" s="41">
        <v>1996</v>
      </c>
      <c r="K323" s="41">
        <v>1997</v>
      </c>
      <c r="L323" s="41">
        <v>1998</v>
      </c>
      <c r="M323" s="41">
        <v>1999</v>
      </c>
      <c r="N323" s="41">
        <v>2000</v>
      </c>
      <c r="O323" s="41">
        <v>2001</v>
      </c>
      <c r="P323" s="41">
        <v>2002</v>
      </c>
      <c r="Q323" s="41">
        <v>2003</v>
      </c>
      <c r="R323" s="41">
        <v>2004</v>
      </c>
      <c r="S323" s="41">
        <v>2005</v>
      </c>
      <c r="T323" s="41">
        <v>2006</v>
      </c>
      <c r="U323" s="41">
        <v>2007</v>
      </c>
      <c r="V323" s="41">
        <v>2008</v>
      </c>
      <c r="W323" s="41">
        <v>2009</v>
      </c>
      <c r="X323" s="41">
        <v>2010</v>
      </c>
      <c r="Y323" s="41">
        <v>2011</v>
      </c>
      <c r="Z323" s="41">
        <v>2012</v>
      </c>
      <c r="AA323" s="41">
        <v>2013</v>
      </c>
      <c r="AB323" s="41">
        <v>2014</v>
      </c>
      <c r="AC323" s="41">
        <v>2015</v>
      </c>
      <c r="AD323" s="41">
        <v>2016</v>
      </c>
      <c r="AE323" s="41">
        <v>2017</v>
      </c>
      <c r="AF323" s="41">
        <v>2018</v>
      </c>
      <c r="AG323" s="41">
        <v>2019</v>
      </c>
      <c r="AH323" s="41">
        <v>2020</v>
      </c>
      <c r="AI323" s="41">
        <v>2021</v>
      </c>
      <c r="AJ323" s="41">
        <v>2022</v>
      </c>
      <c r="AK323" s="41">
        <v>2023</v>
      </c>
    </row>
    <row r="324" spans="1:37">
      <c r="A324" s="63" t="s">
        <v>249</v>
      </c>
      <c r="B324" s="41">
        <v>0</v>
      </c>
      <c r="C324" s="41">
        <v>0</v>
      </c>
      <c r="D324" s="41">
        <v>0</v>
      </c>
      <c r="E324" s="41">
        <v>0</v>
      </c>
      <c r="F324" s="41">
        <v>0</v>
      </c>
      <c r="G324" s="41">
        <v>0</v>
      </c>
      <c r="H324" s="41">
        <v>0</v>
      </c>
      <c r="I324" s="41">
        <v>0</v>
      </c>
      <c r="J324" s="41">
        <v>0</v>
      </c>
      <c r="K324" s="41">
        <v>0</v>
      </c>
      <c r="L324" s="41">
        <v>0</v>
      </c>
      <c r="M324" s="41">
        <v>0</v>
      </c>
      <c r="N324" s="41">
        <v>0</v>
      </c>
      <c r="O324" s="41">
        <v>0</v>
      </c>
      <c r="P324" s="41" cm="1">
        <f t="array" ref="P324">SUMPRODUCT((LEN('Mediation Dataset (Sudans)'!G417:G464)-LEN(SUBSTITUTE('Mediation Dataset (Sudans)'!G417:G464,A324,"")))/LEN(A324))</f>
        <v>0</v>
      </c>
      <c r="Q324" s="41">
        <v>0</v>
      </c>
      <c r="R324" s="41">
        <v>0</v>
      </c>
      <c r="S324" s="41" cm="1">
        <f t="array" ref="S324">SUMPRODUCT((LEN('Mediation Dataset (Sudans)'!G658:G678)-LEN(SUBSTITUTE('Mediation Dataset (Sudans)'!G658:G678,A324,"")))/LEN(A324))</f>
        <v>0</v>
      </c>
      <c r="T324" s="41">
        <v>0</v>
      </c>
      <c r="U324" s="41">
        <v>0</v>
      </c>
      <c r="V324" s="41">
        <v>0</v>
      </c>
      <c r="W324" s="41">
        <v>0</v>
      </c>
      <c r="X324" s="41">
        <v>0</v>
      </c>
      <c r="Y324" s="41">
        <v>0</v>
      </c>
      <c r="Z324" s="41">
        <v>0</v>
      </c>
      <c r="AA324" s="41" cm="1">
        <f t="array" ref="AA324">SUMPRODUCT((LEN('Mediation Dataset (Sudans)'!G739:G776)-LEN(SUBSTITUTE('Mediation Dataset (Sudans)'!G739:G776,A324,"")))/LEN(A324))</f>
        <v>0</v>
      </c>
      <c r="AB324" s="41">
        <v>0</v>
      </c>
      <c r="AC324" s="41">
        <v>3</v>
      </c>
      <c r="AD324" s="41" cm="1">
        <f t="array" ref="AD324">SUMPRODUCT((LEN('Mediation Dataset (Sudans)'!G879:G892)-LEN(SUBSTITUTE('Mediation Dataset (Sudans)'!G879:G892,A324,"")))/LEN(A324))</f>
        <v>0</v>
      </c>
      <c r="AE324" s="41">
        <v>1</v>
      </c>
      <c r="AF324" s="41" cm="1">
        <f t="array" ref="AF324">SUMPRODUCT((LEN('Mediation Dataset (Sudans)'!G929:G1033)-LEN(SUBSTITUTE('Mediation Dataset (Sudans)'!G929:G1033,A324,"")))/LEN(A324))</f>
        <v>2</v>
      </c>
      <c r="AG324" s="41" cm="1">
        <f t="array" ref="AG324">SUMPRODUCT((LEN('Mediation Dataset (Sudans)'!G1034:G1066)-LEN(SUBSTITUTE('Mediation Dataset (Sudans)'!G1034:G1066,A324,"")))/LEN(A324))</f>
        <v>0</v>
      </c>
      <c r="AH324" s="41">
        <v>3</v>
      </c>
      <c r="AI324" s="41">
        <v>1</v>
      </c>
      <c r="AJ324" s="41">
        <v>1</v>
      </c>
      <c r="AK324" s="41">
        <v>0</v>
      </c>
    </row>
    <row r="325" spans="1:37">
      <c r="A325" s="63"/>
      <c r="B325" s="41">
        <v>1988</v>
      </c>
      <c r="C325" s="41">
        <v>1989</v>
      </c>
      <c r="D325" s="41">
        <v>1990</v>
      </c>
      <c r="E325" s="41">
        <v>1991</v>
      </c>
      <c r="F325" s="41">
        <v>1992</v>
      </c>
      <c r="G325" s="41">
        <v>1993</v>
      </c>
      <c r="H325" s="41">
        <v>1994</v>
      </c>
      <c r="I325" s="41">
        <v>1995</v>
      </c>
      <c r="J325" s="41">
        <v>1996</v>
      </c>
      <c r="K325" s="41">
        <v>1997</v>
      </c>
      <c r="L325" s="41">
        <v>1998</v>
      </c>
      <c r="M325" s="41">
        <v>1999</v>
      </c>
      <c r="N325" s="41">
        <v>2000</v>
      </c>
      <c r="O325" s="41">
        <v>2001</v>
      </c>
      <c r="P325" s="41">
        <v>2002</v>
      </c>
      <c r="Q325" s="41">
        <v>2003</v>
      </c>
      <c r="R325" s="41">
        <v>2004</v>
      </c>
      <c r="S325" s="41">
        <v>2005</v>
      </c>
      <c r="T325" s="41">
        <v>2006</v>
      </c>
      <c r="U325" s="41">
        <v>2007</v>
      </c>
      <c r="V325" s="41">
        <v>2008</v>
      </c>
      <c r="W325" s="41">
        <v>2009</v>
      </c>
      <c r="X325" s="41">
        <v>2010</v>
      </c>
      <c r="Y325" s="41">
        <v>2011</v>
      </c>
      <c r="Z325" s="41">
        <v>2012</v>
      </c>
      <c r="AA325" s="41">
        <v>2013</v>
      </c>
      <c r="AB325" s="41">
        <v>2014</v>
      </c>
      <c r="AC325" s="41">
        <v>2015</v>
      </c>
      <c r="AD325" s="41">
        <v>2016</v>
      </c>
      <c r="AE325" s="41">
        <v>2017</v>
      </c>
      <c r="AF325" s="41">
        <v>2018</v>
      </c>
      <c r="AG325" s="41">
        <v>2019</v>
      </c>
      <c r="AH325" s="41">
        <v>2020</v>
      </c>
      <c r="AI325" s="41">
        <v>2021</v>
      </c>
      <c r="AJ325" s="41">
        <v>2022</v>
      </c>
      <c r="AK325" s="41">
        <v>2023</v>
      </c>
    </row>
    <row r="326" spans="1:37">
      <c r="A326" t="s">
        <v>1229</v>
      </c>
      <c r="B326" s="41">
        <v>0</v>
      </c>
      <c r="C326" s="41">
        <v>0</v>
      </c>
      <c r="D326" s="41">
        <v>0</v>
      </c>
      <c r="E326" s="41">
        <v>0</v>
      </c>
      <c r="F326" s="41">
        <v>0</v>
      </c>
      <c r="G326" s="41">
        <v>0</v>
      </c>
      <c r="H326" s="41">
        <v>0</v>
      </c>
      <c r="I326" s="41">
        <v>0</v>
      </c>
      <c r="J326" s="41">
        <v>0</v>
      </c>
      <c r="K326" s="41">
        <v>0</v>
      </c>
      <c r="L326" s="41">
        <v>0</v>
      </c>
      <c r="M326" s="41">
        <v>0</v>
      </c>
      <c r="N326" s="41">
        <v>0</v>
      </c>
      <c r="O326" s="41">
        <v>0</v>
      </c>
      <c r="P326" s="41" cm="1">
        <f t="array" ref="P326">SUMPRODUCT((LEN('Mediation Dataset (Sudans)'!G418:G465)-LEN(SUBSTITUTE('Mediation Dataset (Sudans)'!G418:G465,A326,"")))/LEN(A326))</f>
        <v>0</v>
      </c>
      <c r="Q326" s="41">
        <v>0</v>
      </c>
      <c r="R326" s="41">
        <v>0</v>
      </c>
      <c r="S326" s="41" cm="1">
        <f t="array" ref="S326">SUMPRODUCT((LEN('Mediation Dataset (Sudans)'!G659:G679)-LEN(SUBSTITUTE('Mediation Dataset (Sudans)'!G659:G679,A326,"")))/LEN(A326))</f>
        <v>0</v>
      </c>
      <c r="T326" s="41">
        <v>0</v>
      </c>
      <c r="U326" s="41">
        <v>0</v>
      </c>
      <c r="V326" s="41">
        <v>0</v>
      </c>
      <c r="W326" s="41">
        <v>0</v>
      </c>
      <c r="X326" s="41">
        <v>0</v>
      </c>
      <c r="Y326" s="41">
        <v>0</v>
      </c>
      <c r="Z326" s="41">
        <v>0</v>
      </c>
      <c r="AA326" s="41" cm="1">
        <f t="array" ref="AA326">SUMPRODUCT((LEN('Mediation Dataset (Sudans)'!G740:G777)-LEN(SUBSTITUTE('Mediation Dataset (Sudans)'!G740:G777,A326,"")))/LEN(A326))</f>
        <v>0</v>
      </c>
      <c r="AB326" s="41">
        <v>0</v>
      </c>
      <c r="AC326" s="41">
        <v>3</v>
      </c>
      <c r="AD326" s="41">
        <v>0</v>
      </c>
      <c r="AE326" s="41">
        <v>1</v>
      </c>
      <c r="AF326" s="41">
        <v>2</v>
      </c>
      <c r="AG326" s="41">
        <v>0</v>
      </c>
      <c r="AH326" s="41">
        <v>2</v>
      </c>
      <c r="AI326" s="41">
        <v>1</v>
      </c>
      <c r="AJ326" s="41">
        <v>1</v>
      </c>
      <c r="AK326" s="41">
        <v>0</v>
      </c>
    </row>
    <row r="327" spans="1:37">
      <c r="A327" t="s">
        <v>1230</v>
      </c>
      <c r="B327" s="41">
        <v>0</v>
      </c>
      <c r="C327" s="41">
        <v>0</v>
      </c>
      <c r="D327" s="41">
        <v>0</v>
      </c>
      <c r="E327" s="41">
        <v>0</v>
      </c>
      <c r="F327" s="41">
        <v>0</v>
      </c>
      <c r="G327" s="41">
        <v>0</v>
      </c>
      <c r="H327" s="41">
        <v>0</v>
      </c>
      <c r="I327" s="41">
        <v>0</v>
      </c>
      <c r="J327" s="41">
        <v>0</v>
      </c>
      <c r="K327" s="41">
        <v>0</v>
      </c>
      <c r="L327" s="41">
        <v>0</v>
      </c>
      <c r="M327" s="41">
        <v>0</v>
      </c>
      <c r="N327" s="41">
        <v>0</v>
      </c>
      <c r="O327" s="41">
        <v>0</v>
      </c>
      <c r="P327" s="41" cm="1">
        <f t="array" ref="P327">SUMPRODUCT((LEN('Mediation Dataset (Sudans)'!G419:G466)-LEN(SUBSTITUTE('Mediation Dataset (Sudans)'!G419:G466,A327,"")))/LEN(A327))</f>
        <v>0</v>
      </c>
      <c r="Q327" s="41">
        <v>0</v>
      </c>
      <c r="R327" s="41">
        <v>0</v>
      </c>
      <c r="S327" s="41" cm="1">
        <f t="array" ref="S327">SUMPRODUCT((LEN('Mediation Dataset (Sudans)'!G660:G680)-LEN(SUBSTITUTE('Mediation Dataset (Sudans)'!G660:G680,A327,"")))/LEN(A327))</f>
        <v>0</v>
      </c>
      <c r="T327" s="41">
        <v>0</v>
      </c>
      <c r="U327" s="41">
        <v>0</v>
      </c>
      <c r="V327" s="41">
        <v>0</v>
      </c>
      <c r="W327" s="41">
        <v>0</v>
      </c>
      <c r="X327" s="41">
        <v>0</v>
      </c>
      <c r="Y327" s="41">
        <v>0</v>
      </c>
      <c r="Z327" s="41">
        <v>0</v>
      </c>
      <c r="AA327" s="41" cm="1">
        <f t="array" ref="AA327">SUMPRODUCT((LEN('Mediation Dataset (Sudans)'!G741:G778)-LEN(SUBSTITUTE('Mediation Dataset (Sudans)'!G741:G778,A327,"")))/LEN(A327))</f>
        <v>0</v>
      </c>
      <c r="AB327" s="41">
        <v>0</v>
      </c>
      <c r="AC327" s="41">
        <v>0</v>
      </c>
      <c r="AD327" s="41">
        <v>0</v>
      </c>
      <c r="AE327" s="41">
        <v>0</v>
      </c>
      <c r="AF327" s="41">
        <v>0</v>
      </c>
      <c r="AG327" s="41">
        <v>0</v>
      </c>
      <c r="AH327" s="41">
        <v>1</v>
      </c>
      <c r="AI327" s="41">
        <v>0</v>
      </c>
      <c r="AJ327" s="41">
        <v>0</v>
      </c>
      <c r="AK327" s="41">
        <v>0</v>
      </c>
    </row>
    <row r="329" spans="1:37">
      <c r="A329" s="44" t="s">
        <v>1222</v>
      </c>
      <c r="B329" s="45"/>
      <c r="C329" s="45"/>
      <c r="D329" s="45"/>
      <c r="E329" s="45"/>
      <c r="F329" s="45"/>
      <c r="G329" s="45"/>
      <c r="H329" s="45"/>
      <c r="I329" s="45"/>
      <c r="J329" s="45"/>
      <c r="L329" s="59" t="s">
        <v>1223</v>
      </c>
      <c r="M329" s="60"/>
      <c r="N329" s="60"/>
      <c r="O329" s="60"/>
    </row>
    <row r="330" spans="1:37">
      <c r="A330" s="45"/>
      <c r="B330" s="6" t="s">
        <v>8</v>
      </c>
      <c r="C330" s="6" t="s">
        <v>9</v>
      </c>
      <c r="D330" s="6" t="s">
        <v>10</v>
      </c>
      <c r="E330" s="6" t="s">
        <v>307</v>
      </c>
      <c r="F330" s="6" t="s">
        <v>11</v>
      </c>
      <c r="G330" s="6" t="s">
        <v>12</v>
      </c>
      <c r="H330" s="6" t="s">
        <v>13</v>
      </c>
      <c r="I330" s="6" t="s">
        <v>14</v>
      </c>
      <c r="J330" s="6" t="s">
        <v>1210</v>
      </c>
      <c r="L330" s="60"/>
      <c r="M330" s="61" t="s">
        <v>1179</v>
      </c>
      <c r="N330" s="61" t="s">
        <v>1178</v>
      </c>
      <c r="O330" s="60"/>
    </row>
    <row r="331" spans="1:37">
      <c r="A331" s="46" t="s">
        <v>249</v>
      </c>
      <c r="B331" s="45">
        <f>COUNTIFS('Mediation Dataset (Sudans)'!$G$2:$G$1222,"China", 'Mediation Dataset (Sudans)'!$O$2:$O$1222,"=1")</f>
        <v>1</v>
      </c>
      <c r="C331" s="45">
        <f>COUNTIFS('Mediation Dataset (Sudans)'!$G$2:$G$1222,"China", 'Mediation Dataset (Sudans)'!$P$2:$P$1222,"=1")</f>
        <v>2</v>
      </c>
      <c r="D331" s="45">
        <f>COUNTIFS('Mediation Dataset (Sudans)'!$G$2:$G$1222,"China", 'Mediation Dataset (Sudans)'!$Q$2:$Q$1222,"=1")</f>
        <v>0</v>
      </c>
      <c r="E331" s="45">
        <f>COUNTIFS('Mediation Dataset (Sudans)'!$G$2:$G$1222,"China", 'Mediation Dataset (Sudans)'!$R$2:$R$1222,"=1")</f>
        <v>6</v>
      </c>
      <c r="F331" s="45">
        <f>COUNTIFS('Mediation Dataset (Sudans)'!$G$2:$G$1222,"China", 'Mediation Dataset (Sudans)'!$S$2:$S$1222,"=1")</f>
        <v>2</v>
      </c>
      <c r="G331" s="45">
        <f>COUNTIFS('Mediation Dataset (Sudans)'!$G$2:$G$1222,"China", 'Mediation Dataset (Sudans)'!$T$2:$T$1222,"=1")</f>
        <v>2</v>
      </c>
      <c r="H331" s="45">
        <f>COUNTIFS('Mediation Dataset (Sudans)'!$G$2:$G$1222,"China", 'Mediation Dataset (Sudans)'!$U$2:$U$1222,"=1")</f>
        <v>5</v>
      </c>
      <c r="I331" s="45">
        <f>COUNTIFS('Mediation Dataset (Sudans)'!$G$2:$G$1222,"China", 'Mediation Dataset (Sudans)'!$V$2:$V$1222,"=1")</f>
        <v>2</v>
      </c>
      <c r="J331" s="45">
        <f>SUM(B331:I331)</f>
        <v>20</v>
      </c>
      <c r="L331" s="62" t="s">
        <v>249</v>
      </c>
      <c r="M331" s="60">
        <f>COUNTIFS('Mediation Dataset (Sudans)'!$G$2:$G$1222,"China", 'Mediation Dataset (Sudans)'!$K$2:$K$1222,"S")</f>
        <v>1</v>
      </c>
      <c r="N331" s="60">
        <v>10</v>
      </c>
      <c r="O331" s="60"/>
    </row>
    <row r="332" spans="1:37">
      <c r="A332" s="46" t="s">
        <v>249</v>
      </c>
      <c r="B332" s="6" t="s">
        <v>8</v>
      </c>
      <c r="C332" s="6" t="s">
        <v>9</v>
      </c>
      <c r="D332" s="6" t="s">
        <v>10</v>
      </c>
      <c r="E332" s="6" t="s">
        <v>307</v>
      </c>
      <c r="F332" s="6" t="s">
        <v>11</v>
      </c>
      <c r="G332" s="6" t="s">
        <v>12</v>
      </c>
      <c r="H332" s="6" t="s">
        <v>13</v>
      </c>
      <c r="I332" s="6" t="s">
        <v>14</v>
      </c>
      <c r="J332" s="45"/>
    </row>
    <row r="333" spans="1:37">
      <c r="A333" s="45" t="s">
        <v>1209</v>
      </c>
      <c r="B333" s="45">
        <f>(B331/J331)*100</f>
        <v>5</v>
      </c>
      <c r="C333" s="45">
        <f>(C331/J331)*100</f>
        <v>10</v>
      </c>
      <c r="D333" s="45">
        <f>(D331/J331)*100</f>
        <v>0</v>
      </c>
      <c r="E333" s="45">
        <f>(E331/J331)*100</f>
        <v>30</v>
      </c>
      <c r="F333" s="45">
        <f>(F331/J331)*100</f>
        <v>10</v>
      </c>
      <c r="G333" s="45">
        <f>(G331/J331)*100</f>
        <v>10</v>
      </c>
      <c r="H333" s="45">
        <f>(H331/J331)*100</f>
        <v>25</v>
      </c>
      <c r="I333" s="45">
        <f>(I331/J331)*100</f>
        <v>10</v>
      </c>
      <c r="J333" s="45"/>
    </row>
    <row r="334" spans="1:37">
      <c r="A334" s="45"/>
      <c r="B334" s="45"/>
      <c r="C334" s="45"/>
      <c r="D334" s="45"/>
      <c r="E334" s="45"/>
      <c r="F334" s="45"/>
      <c r="G334" s="45"/>
      <c r="H334" s="45"/>
      <c r="I334" s="45"/>
      <c r="J334" s="45"/>
    </row>
    <row r="361" spans="1:37" ht="29.5">
      <c r="A361" s="58" t="s">
        <v>157</v>
      </c>
    </row>
    <row r="363" spans="1:37">
      <c r="A363" s="40" t="s">
        <v>1231</v>
      </c>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row>
    <row r="364" spans="1:37">
      <c r="A364" s="5"/>
      <c r="B364" s="41">
        <v>1988</v>
      </c>
      <c r="C364" s="41">
        <v>1989</v>
      </c>
      <c r="D364" s="41">
        <v>1990</v>
      </c>
      <c r="E364" s="41">
        <v>1991</v>
      </c>
      <c r="F364" s="41">
        <v>1992</v>
      </c>
      <c r="G364" s="41">
        <v>1993</v>
      </c>
      <c r="H364" s="41">
        <v>1994</v>
      </c>
      <c r="I364" s="41">
        <v>1995</v>
      </c>
      <c r="J364" s="41">
        <v>1996</v>
      </c>
      <c r="K364" s="41">
        <v>1997</v>
      </c>
      <c r="L364" s="41">
        <v>1998</v>
      </c>
      <c r="M364" s="41">
        <v>1999</v>
      </c>
      <c r="N364" s="41">
        <v>2000</v>
      </c>
      <c r="O364" s="41">
        <v>2001</v>
      </c>
      <c r="P364" s="41">
        <v>2002</v>
      </c>
      <c r="Q364" s="41">
        <v>2003</v>
      </c>
      <c r="R364" s="41">
        <v>2004</v>
      </c>
      <c r="S364" s="41">
        <v>2005</v>
      </c>
      <c r="T364" s="41">
        <v>2006</v>
      </c>
      <c r="U364" s="41">
        <v>2007</v>
      </c>
      <c r="V364" s="41">
        <v>2008</v>
      </c>
      <c r="W364" s="41">
        <v>2009</v>
      </c>
      <c r="X364" s="41">
        <v>2010</v>
      </c>
      <c r="Y364" s="41">
        <v>2011</v>
      </c>
      <c r="Z364" s="41">
        <v>2012</v>
      </c>
      <c r="AA364" s="41">
        <v>2013</v>
      </c>
      <c r="AB364" s="41">
        <v>2014</v>
      </c>
      <c r="AC364" s="41">
        <v>2015</v>
      </c>
      <c r="AD364" s="41">
        <v>2016</v>
      </c>
      <c r="AE364" s="41">
        <v>2017</v>
      </c>
      <c r="AF364" s="41">
        <v>2018</v>
      </c>
      <c r="AG364" s="41">
        <v>2019</v>
      </c>
      <c r="AH364" s="41">
        <v>2020</v>
      </c>
      <c r="AI364" s="41">
        <v>2021</v>
      </c>
      <c r="AJ364" s="41">
        <v>2022</v>
      </c>
      <c r="AK364" s="41">
        <v>2023</v>
      </c>
    </row>
    <row r="365" spans="1:37">
      <c r="A365" s="63" t="s">
        <v>157</v>
      </c>
      <c r="B365" s="41">
        <v>0</v>
      </c>
      <c r="C365" s="41">
        <v>0</v>
      </c>
      <c r="D365" s="41">
        <v>0</v>
      </c>
      <c r="E365" s="41">
        <v>0</v>
      </c>
      <c r="F365" s="41">
        <v>0</v>
      </c>
      <c r="G365" s="41">
        <v>0</v>
      </c>
      <c r="H365" s="41">
        <v>0</v>
      </c>
      <c r="I365" s="41">
        <v>0</v>
      </c>
      <c r="J365" s="41">
        <v>0</v>
      </c>
      <c r="K365" s="41">
        <v>0</v>
      </c>
      <c r="L365" s="41">
        <v>0</v>
      </c>
      <c r="M365" s="41">
        <v>0</v>
      </c>
      <c r="N365" s="41">
        <v>0</v>
      </c>
      <c r="O365" s="41">
        <v>0</v>
      </c>
      <c r="P365" s="41" cm="1">
        <f t="array" ref="P365">SUMPRODUCT((LEN('Mediation Dataset (Sudans)'!G454:G501)-LEN(SUBSTITUTE('Mediation Dataset (Sudans)'!G454:G501,A365,"")))/LEN(A365))</f>
        <v>0</v>
      </c>
      <c r="Q365" s="41">
        <v>0</v>
      </c>
      <c r="R365" s="41" cm="1">
        <f t="array" ref="R365">SUMPRODUCT((LEN('Mediation Dataset (Sudans)'!G618:G694)-LEN(SUBSTITUTE('Mediation Dataset (Sudans)'!G618:G694,A365,"")))/LEN(A365))</f>
        <v>0</v>
      </c>
      <c r="S365" s="41" cm="1">
        <f t="array" ref="S365">SUMPRODUCT((LEN('Mediation Dataset (Sudans)'!G695:G715)-LEN(SUBSTITUTE('Mediation Dataset (Sudans)'!G695:G715,A365,"")))/LEN(A365))</f>
        <v>0</v>
      </c>
      <c r="T365" s="41">
        <v>0</v>
      </c>
      <c r="U365" s="41">
        <v>0</v>
      </c>
      <c r="V365" s="41">
        <v>0</v>
      </c>
      <c r="W365" s="41">
        <v>2</v>
      </c>
      <c r="X365" s="41">
        <v>2</v>
      </c>
      <c r="Y365" s="41">
        <v>1</v>
      </c>
      <c r="Z365" s="41">
        <v>1</v>
      </c>
      <c r="AA365" s="41">
        <v>1</v>
      </c>
      <c r="AB365" s="41" cm="1">
        <f t="array" ref="AB365">SUMPRODUCT((LEN('Mediation Dataset (Sudans)'!G814:G830)-LEN(SUBSTITUTE('Mediation Dataset (Sudans)'!G814:G830,A365,"")))/LEN(A365))</f>
        <v>0</v>
      </c>
      <c r="AC365" s="41">
        <v>0</v>
      </c>
      <c r="AD365" s="41">
        <v>1</v>
      </c>
      <c r="AE365" s="41" cm="1">
        <f t="array" ref="AE365">SUMPRODUCT((LEN('Mediation Dataset (Sudans)'!G931:G965)-LEN(SUBSTITUTE('Mediation Dataset (Sudans)'!G931:G965,A365,"")))/LEN(A365))</f>
        <v>0</v>
      </c>
      <c r="AF365" s="41" cm="1">
        <f t="array" ref="AF365">SUMPRODUCT((LEN('Mediation Dataset (Sudans)'!G966:G1070)-LEN(SUBSTITUTE('Mediation Dataset (Sudans)'!G966:G1070,A365,"")))/LEN(A365))</f>
        <v>1</v>
      </c>
      <c r="AG365" s="41" cm="1">
        <f t="array" ref="AG365">SUMPRODUCT((LEN('Mediation Dataset (Sudans)'!G1071:G1103)-LEN(SUBSTITUTE('Mediation Dataset (Sudans)'!G1071:G1103,A365,"")))/LEN(A365))</f>
        <v>0</v>
      </c>
      <c r="AH365" s="41">
        <v>5</v>
      </c>
      <c r="AI365" s="41">
        <v>1</v>
      </c>
      <c r="AJ365" s="41" cm="1">
        <f t="array" ref="AJ365">SUMPRODUCT((LEN('Mediation Dataset (Sudans)'!G1483:G1579)-LEN(SUBSTITUTE('Mediation Dataset (Sudans)'!G1483:G1579,A365,"")))/LEN(A365))</f>
        <v>0</v>
      </c>
      <c r="AK365" s="41">
        <v>0</v>
      </c>
    </row>
    <row r="366" spans="1:37">
      <c r="A366" s="5"/>
      <c r="B366" s="41">
        <v>1988</v>
      </c>
      <c r="C366" s="41">
        <v>1989</v>
      </c>
      <c r="D366" s="41">
        <v>1990</v>
      </c>
      <c r="E366" s="41">
        <v>1991</v>
      </c>
      <c r="F366" s="41">
        <v>1992</v>
      </c>
      <c r="G366" s="41">
        <v>1993</v>
      </c>
      <c r="H366" s="41">
        <v>1994</v>
      </c>
      <c r="I366" s="41">
        <v>1995</v>
      </c>
      <c r="J366" s="41">
        <v>1996</v>
      </c>
      <c r="K366" s="41">
        <v>1997</v>
      </c>
      <c r="L366" s="41">
        <v>1998</v>
      </c>
      <c r="M366" s="41">
        <v>1999</v>
      </c>
      <c r="N366" s="41">
        <v>2000</v>
      </c>
      <c r="O366" s="41">
        <v>2001</v>
      </c>
      <c r="P366" s="41">
        <v>2002</v>
      </c>
      <c r="Q366" s="41">
        <v>2003</v>
      </c>
      <c r="R366" s="41">
        <v>2004</v>
      </c>
      <c r="S366" s="41">
        <v>2005</v>
      </c>
      <c r="T366" s="41">
        <v>2006</v>
      </c>
      <c r="U366" s="41">
        <v>2007</v>
      </c>
      <c r="V366" s="41">
        <v>2008</v>
      </c>
      <c r="W366" s="41">
        <v>2009</v>
      </c>
      <c r="X366" s="41">
        <v>2010</v>
      </c>
      <c r="Y366" s="41">
        <v>2011</v>
      </c>
      <c r="Z366" s="41">
        <v>2012</v>
      </c>
      <c r="AA366" s="41">
        <v>2013</v>
      </c>
      <c r="AB366" s="41">
        <v>2014</v>
      </c>
      <c r="AC366" s="41">
        <v>2015</v>
      </c>
      <c r="AD366" s="41">
        <v>2016</v>
      </c>
      <c r="AE366" s="41">
        <v>2017</v>
      </c>
      <c r="AF366" s="41">
        <v>2018</v>
      </c>
      <c r="AG366" s="41">
        <v>2019</v>
      </c>
      <c r="AH366" s="41">
        <v>2020</v>
      </c>
      <c r="AI366" s="41">
        <v>2021</v>
      </c>
      <c r="AJ366" s="41">
        <v>2022</v>
      </c>
      <c r="AK366" s="41">
        <v>2023</v>
      </c>
    </row>
    <row r="367" spans="1:37">
      <c r="A367" s="41" t="s">
        <v>1232</v>
      </c>
      <c r="B367" s="41">
        <v>0</v>
      </c>
      <c r="C367" s="41">
        <v>0</v>
      </c>
      <c r="D367" s="41">
        <v>0</v>
      </c>
      <c r="E367" s="41">
        <v>0</v>
      </c>
      <c r="F367" s="41">
        <v>0</v>
      </c>
      <c r="G367" s="41">
        <v>0</v>
      </c>
      <c r="H367" s="41">
        <v>0</v>
      </c>
      <c r="I367" s="41">
        <v>0</v>
      </c>
      <c r="J367" s="41">
        <v>0</v>
      </c>
      <c r="K367" s="41">
        <v>0</v>
      </c>
      <c r="L367" s="41">
        <v>0</v>
      </c>
      <c r="M367" s="41">
        <v>0</v>
      </c>
      <c r="N367" s="41">
        <v>0</v>
      </c>
      <c r="O367" s="41">
        <v>0</v>
      </c>
      <c r="P367" s="41">
        <v>0</v>
      </c>
      <c r="Q367" s="41">
        <v>0</v>
      </c>
      <c r="R367" s="41">
        <v>0</v>
      </c>
      <c r="S367" s="41">
        <v>0</v>
      </c>
      <c r="T367" s="41">
        <v>0</v>
      </c>
      <c r="U367" s="41">
        <v>0</v>
      </c>
      <c r="V367" s="41">
        <v>0</v>
      </c>
      <c r="W367" s="41">
        <v>1</v>
      </c>
      <c r="X367" s="41">
        <v>2</v>
      </c>
      <c r="Y367" s="41">
        <v>1</v>
      </c>
      <c r="Z367" s="41">
        <v>1</v>
      </c>
      <c r="AA367" s="41">
        <v>0</v>
      </c>
      <c r="AB367" s="41">
        <v>0</v>
      </c>
      <c r="AC367" s="41">
        <v>0</v>
      </c>
      <c r="AD367" s="41">
        <v>1</v>
      </c>
      <c r="AE367" s="41">
        <v>0</v>
      </c>
      <c r="AF367" s="41">
        <v>1</v>
      </c>
      <c r="AG367" s="41">
        <v>0</v>
      </c>
      <c r="AH367" s="41">
        <v>1</v>
      </c>
      <c r="AI367" s="41">
        <v>0</v>
      </c>
      <c r="AJ367" s="41">
        <v>0</v>
      </c>
      <c r="AK367" s="41">
        <v>0</v>
      </c>
    </row>
    <row r="368" spans="1:37">
      <c r="A368" s="41" t="s">
        <v>1233</v>
      </c>
      <c r="B368" s="41">
        <v>0</v>
      </c>
      <c r="C368" s="41">
        <v>0</v>
      </c>
      <c r="D368" s="41">
        <v>0</v>
      </c>
      <c r="E368" s="41">
        <v>0</v>
      </c>
      <c r="F368" s="41">
        <v>0</v>
      </c>
      <c r="G368" s="41">
        <v>0</v>
      </c>
      <c r="H368" s="41">
        <v>0</v>
      </c>
      <c r="I368" s="41">
        <v>0</v>
      </c>
      <c r="J368" s="41">
        <v>0</v>
      </c>
      <c r="K368" s="41">
        <v>0</v>
      </c>
      <c r="L368" s="41">
        <v>0</v>
      </c>
      <c r="M368" s="41">
        <v>0</v>
      </c>
      <c r="N368" s="41">
        <v>0</v>
      </c>
      <c r="O368" s="41">
        <v>0</v>
      </c>
      <c r="P368" s="41">
        <v>0</v>
      </c>
      <c r="Q368" s="41">
        <v>0</v>
      </c>
      <c r="R368" s="41">
        <v>0</v>
      </c>
      <c r="S368" s="41">
        <v>0</v>
      </c>
      <c r="T368" s="41">
        <v>0</v>
      </c>
      <c r="U368" s="41">
        <v>0</v>
      </c>
      <c r="V368" s="41">
        <v>0</v>
      </c>
      <c r="W368" s="41">
        <v>1</v>
      </c>
      <c r="X368" s="41">
        <v>0</v>
      </c>
      <c r="Y368" s="41">
        <v>0</v>
      </c>
      <c r="Z368" s="41">
        <v>0</v>
      </c>
      <c r="AA368" s="41">
        <v>1</v>
      </c>
      <c r="AB368" s="41">
        <v>0</v>
      </c>
      <c r="AC368" s="41">
        <v>0</v>
      </c>
      <c r="AD368" s="41">
        <v>0</v>
      </c>
      <c r="AE368" s="41">
        <v>0</v>
      </c>
      <c r="AF368" s="41">
        <v>0</v>
      </c>
      <c r="AG368" s="41">
        <v>0</v>
      </c>
      <c r="AH368" s="41">
        <v>4</v>
      </c>
      <c r="AI368" s="41">
        <v>1</v>
      </c>
      <c r="AJ368" s="41">
        <v>0</v>
      </c>
      <c r="AK368" s="41">
        <v>0</v>
      </c>
    </row>
    <row r="370" spans="1:15">
      <c r="A370" s="44" t="s">
        <v>1236</v>
      </c>
      <c r="B370" s="45"/>
      <c r="C370" s="45"/>
      <c r="D370" s="45"/>
      <c r="E370" s="45"/>
      <c r="F370" s="45"/>
      <c r="G370" s="45"/>
      <c r="H370" s="45"/>
      <c r="I370" s="45"/>
      <c r="J370" s="45"/>
      <c r="L370" s="54" t="s">
        <v>1237</v>
      </c>
      <c r="M370" s="53"/>
      <c r="N370" s="53"/>
      <c r="O370" s="53"/>
    </row>
    <row r="371" spans="1:15">
      <c r="A371" s="45"/>
      <c r="B371" s="6" t="s">
        <v>8</v>
      </c>
      <c r="C371" s="6" t="s">
        <v>9</v>
      </c>
      <c r="D371" s="6" t="s">
        <v>10</v>
      </c>
      <c r="E371" s="6" t="s">
        <v>307</v>
      </c>
      <c r="F371" s="6" t="s">
        <v>11</v>
      </c>
      <c r="G371" s="6" t="s">
        <v>12</v>
      </c>
      <c r="H371" s="6" t="s">
        <v>13</v>
      </c>
      <c r="I371" s="6" t="s">
        <v>14</v>
      </c>
      <c r="J371" s="6" t="s">
        <v>1234</v>
      </c>
      <c r="L371" s="53"/>
      <c r="M371" s="3" t="s">
        <v>1179</v>
      </c>
      <c r="N371" s="3" t="s">
        <v>1227</v>
      </c>
      <c r="O371" s="53"/>
    </row>
    <row r="372" spans="1:15">
      <c r="A372" s="46" t="s">
        <v>157</v>
      </c>
      <c r="B372" s="45">
        <f>COUNTIFS('Mediation Dataset (Sudans)'!$G$2:$G$1222,"Qatar", 'Mediation Dataset (Sudans)'!$O$2:$O$1222,"=1")</f>
        <v>2</v>
      </c>
      <c r="C372" s="45">
        <f>COUNTIFS('Mediation Dataset (Sudans)'!$G$2:$G$1222,"Qatar", 'Mediation Dataset (Sudans)'!$P$2:$P$1222,"=1")</f>
        <v>6</v>
      </c>
      <c r="D372" s="45">
        <f>COUNTIFS('Mediation Dataset (Sudans)'!$G$2:$G$1222,"Qatar", 'Mediation Dataset (Sudans)'!$Q$2:$Q$1222,"=1")</f>
        <v>7</v>
      </c>
      <c r="E372" s="45">
        <f>COUNTIFS('Mediation Dataset (Sudans)'!$G$2:$G$1222,"Qatar", 'Mediation Dataset (Sudans)'!$R$2:$R$1222,"=1")</f>
        <v>5</v>
      </c>
      <c r="F372" s="45">
        <f>COUNTIFS('Mediation Dataset (Sudans)'!$G$2:$G$1222,"Qatar", 'Mediation Dataset (Sudans)'!$S$2:$S$1222,"=1")</f>
        <v>2</v>
      </c>
      <c r="G372" s="45">
        <f>COUNTIFS('Mediation Dataset (Sudans)'!$G$2:$G$1222,"Qatar", 'Mediation Dataset (Sudans)'!$T$2:$T$1222,"=1")</f>
        <v>2</v>
      </c>
      <c r="H372" s="45">
        <f>COUNTIFS('Mediation Dataset (Sudans)'!$G$2:$G$1222,"Qatar", 'Mediation Dataset (Sudans)'!$U$2:$U$1222,"=1")</f>
        <v>5</v>
      </c>
      <c r="I372" s="45">
        <f>COUNTIFS('Mediation Dataset (Sudans)'!$G$2:$G$1222,"Qatar", 'Mediation Dataset (Sudans)'!$V$2:$V$1222,"=1")</f>
        <v>4</v>
      </c>
      <c r="J372" s="45">
        <f>SUM(B372:I372)</f>
        <v>33</v>
      </c>
      <c r="L372" s="55" t="s">
        <v>157</v>
      </c>
      <c r="M372" s="64">
        <v>8</v>
      </c>
      <c r="N372" s="64">
        <v>6</v>
      </c>
      <c r="O372" s="53"/>
    </row>
    <row r="373" spans="1:15">
      <c r="A373" s="45"/>
      <c r="B373" s="6" t="s">
        <v>8</v>
      </c>
      <c r="C373" s="6" t="s">
        <v>9</v>
      </c>
      <c r="D373" s="6" t="s">
        <v>10</v>
      </c>
      <c r="E373" s="6" t="s">
        <v>307</v>
      </c>
      <c r="F373" s="6" t="s">
        <v>11</v>
      </c>
      <c r="G373" s="6" t="s">
        <v>12</v>
      </c>
      <c r="H373" s="6" t="s">
        <v>13</v>
      </c>
      <c r="I373" s="6" t="s">
        <v>14</v>
      </c>
      <c r="J373" s="45"/>
    </row>
    <row r="374" spans="1:15">
      <c r="A374" s="45" t="s">
        <v>1235</v>
      </c>
      <c r="B374" s="45">
        <f>(2/33)*100</f>
        <v>6.0606060606060606</v>
      </c>
      <c r="C374" s="45">
        <f>(6/33)*100</f>
        <v>18.181818181818183</v>
      </c>
      <c r="D374" s="45">
        <f>(7/33)*100</f>
        <v>21.212121212121211</v>
      </c>
      <c r="E374" s="45">
        <f>(5/33)*100</f>
        <v>15.151515151515152</v>
      </c>
      <c r="F374" s="45">
        <f>(2/33)*100</f>
        <v>6.0606060606060606</v>
      </c>
      <c r="G374" s="45">
        <f>(2/33)*100</f>
        <v>6.0606060606060606</v>
      </c>
      <c r="H374" s="45">
        <f>(5/33)*100</f>
        <v>15.151515151515152</v>
      </c>
      <c r="I374" s="45">
        <f>(4/33)*100</f>
        <v>12.121212121212121</v>
      </c>
      <c r="J374" s="4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220"/>
  <sheetViews>
    <sheetView topLeftCell="A452" workbookViewId="0">
      <selection activeCell="A968" sqref="A968"/>
    </sheetView>
  </sheetViews>
  <sheetFormatPr defaultColWidth="10.6640625" defaultRowHeight="15.5"/>
  <cols>
    <col min="1" max="1" width="31.83203125" customWidth="1"/>
    <col min="2" max="2" width="24.6640625" customWidth="1"/>
    <col min="3" max="3" width="21.5" customWidth="1"/>
  </cols>
  <sheetData>
    <row r="1" spans="1:3">
      <c r="A1" s="3" t="s">
        <v>4</v>
      </c>
      <c r="B1" s="7" t="s">
        <v>1075</v>
      </c>
      <c r="C1" s="7" t="s">
        <v>1172</v>
      </c>
    </row>
    <row r="2" spans="1:3">
      <c r="A2" t="s">
        <v>22</v>
      </c>
      <c r="B2" t="s">
        <v>65</v>
      </c>
      <c r="C2" t="s">
        <v>25</v>
      </c>
    </row>
    <row r="3" spans="1:3">
      <c r="A3" s="8" t="s">
        <v>37</v>
      </c>
      <c r="B3" s="8" t="s">
        <v>41</v>
      </c>
      <c r="C3" t="s">
        <v>41</v>
      </c>
    </row>
    <row r="4" spans="1:3" hidden="1">
      <c r="A4" s="8" t="s">
        <v>37</v>
      </c>
      <c r="B4" s="8" t="s">
        <v>37</v>
      </c>
    </row>
    <row r="5" spans="1:3">
      <c r="A5" s="8" t="s">
        <v>193</v>
      </c>
      <c r="B5" s="8" t="s">
        <v>65</v>
      </c>
      <c r="C5" t="s">
        <v>41</v>
      </c>
    </row>
    <row r="6" spans="1:3">
      <c r="A6" s="8" t="s">
        <v>182</v>
      </c>
      <c r="B6" s="8" t="s">
        <v>25</v>
      </c>
      <c r="C6" t="s">
        <v>25</v>
      </c>
    </row>
    <row r="7" spans="1:3">
      <c r="A7" s="8" t="s">
        <v>151</v>
      </c>
      <c r="B7" s="8" t="s">
        <v>65</v>
      </c>
      <c r="C7" t="s">
        <v>25</v>
      </c>
    </row>
    <row r="8" spans="1:3" hidden="1">
      <c r="A8" s="8" t="s">
        <v>182</v>
      </c>
      <c r="B8" s="8" t="s">
        <v>182</v>
      </c>
    </row>
    <row r="9" spans="1:3" hidden="1">
      <c r="A9" s="8" t="s">
        <v>151</v>
      </c>
      <c r="B9" s="8" t="s">
        <v>151</v>
      </c>
    </row>
    <row r="10" spans="1:3" hidden="1">
      <c r="A10" s="8" t="s">
        <v>151</v>
      </c>
      <c r="B10" s="8" t="s">
        <v>151</v>
      </c>
    </row>
    <row r="11" spans="1:3">
      <c r="A11" s="8" t="s">
        <v>35</v>
      </c>
      <c r="B11" s="8" t="s">
        <v>25</v>
      </c>
      <c r="C11" t="s">
        <v>25</v>
      </c>
    </row>
    <row r="12" spans="1:3" hidden="1">
      <c r="A12" s="8" t="s">
        <v>35</v>
      </c>
      <c r="B12" s="8" t="s">
        <v>35</v>
      </c>
    </row>
    <row r="13" spans="1:3" hidden="1">
      <c r="A13" s="8" t="s">
        <v>35</v>
      </c>
      <c r="B13" s="8" t="s">
        <v>35</v>
      </c>
    </row>
    <row r="14" spans="1:3">
      <c r="A14" s="8" t="s">
        <v>152</v>
      </c>
      <c r="B14" s="8" t="s">
        <v>65</v>
      </c>
      <c r="C14" t="s">
        <v>25</v>
      </c>
    </row>
    <row r="15" spans="1:3" hidden="1">
      <c r="A15" s="8" t="s">
        <v>22</v>
      </c>
      <c r="B15" s="8" t="s">
        <v>22</v>
      </c>
    </row>
    <row r="16" spans="1:3">
      <c r="A16" s="8" t="s">
        <v>191</v>
      </c>
      <c r="B16" s="8" t="s">
        <v>65</v>
      </c>
      <c r="C16" t="s">
        <v>25</v>
      </c>
    </row>
    <row r="17" spans="1:3">
      <c r="A17" s="8" t="s">
        <v>192</v>
      </c>
      <c r="B17" s="8" t="s">
        <v>65</v>
      </c>
      <c r="C17" t="s">
        <v>25</v>
      </c>
    </row>
    <row r="18" spans="1:3" hidden="1">
      <c r="A18" s="8" t="s">
        <v>35</v>
      </c>
      <c r="B18" s="8" t="s">
        <v>35</v>
      </c>
    </row>
    <row r="19" spans="1:3" hidden="1">
      <c r="A19" s="8" t="s">
        <v>152</v>
      </c>
      <c r="B19" s="8" t="s">
        <v>152</v>
      </c>
    </row>
    <row r="20" spans="1:3" hidden="1">
      <c r="A20" s="8" t="s">
        <v>22</v>
      </c>
      <c r="B20" s="8" t="s">
        <v>22</v>
      </c>
    </row>
    <row r="21" spans="1:3" hidden="1">
      <c r="A21" s="8" t="s">
        <v>191</v>
      </c>
      <c r="B21" s="8" t="s">
        <v>191</v>
      </c>
    </row>
    <row r="22" spans="1:3" hidden="1">
      <c r="A22" s="8" t="s">
        <v>192</v>
      </c>
      <c r="B22" s="8" t="s">
        <v>192</v>
      </c>
    </row>
    <row r="23" spans="1:3" hidden="1">
      <c r="A23" s="8" t="s">
        <v>35</v>
      </c>
      <c r="B23" s="8" t="s">
        <v>35</v>
      </c>
    </row>
    <row r="24" spans="1:3" hidden="1">
      <c r="A24" s="8" t="s">
        <v>152</v>
      </c>
      <c r="B24" s="8" t="s">
        <v>152</v>
      </c>
    </row>
    <row r="25" spans="1:3" hidden="1">
      <c r="A25" s="8" t="s">
        <v>22</v>
      </c>
      <c r="B25" s="8" t="s">
        <v>22</v>
      </c>
    </row>
    <row r="26" spans="1:3" hidden="1">
      <c r="A26" s="8" t="s">
        <v>191</v>
      </c>
      <c r="B26" s="8" t="s">
        <v>191</v>
      </c>
    </row>
    <row r="27" spans="1:3" hidden="1">
      <c r="A27" s="8" t="s">
        <v>192</v>
      </c>
      <c r="B27" s="8" t="s">
        <v>192</v>
      </c>
    </row>
    <row r="28" spans="1:3" hidden="1">
      <c r="A28" s="8" t="s">
        <v>35</v>
      </c>
      <c r="B28" s="8" t="s">
        <v>35</v>
      </c>
    </row>
    <row r="29" spans="1:3" hidden="1">
      <c r="A29" s="8" t="s">
        <v>152</v>
      </c>
      <c r="B29" s="8" t="s">
        <v>152</v>
      </c>
    </row>
    <row r="30" spans="1:3" hidden="1">
      <c r="A30" s="8" t="s">
        <v>22</v>
      </c>
      <c r="B30" s="8" t="s">
        <v>22</v>
      </c>
    </row>
    <row r="31" spans="1:3" hidden="1">
      <c r="A31" s="8" t="s">
        <v>191</v>
      </c>
      <c r="B31" s="8" t="s">
        <v>191</v>
      </c>
    </row>
    <row r="32" spans="1:3" hidden="1">
      <c r="A32" s="8" t="s">
        <v>192</v>
      </c>
      <c r="B32" s="8" t="s">
        <v>192</v>
      </c>
    </row>
    <row r="33" spans="1:3" hidden="1">
      <c r="A33" s="8" t="s">
        <v>35</v>
      </c>
      <c r="B33" s="8" t="s">
        <v>35</v>
      </c>
    </row>
    <row r="34" spans="1:3" hidden="1">
      <c r="A34" s="8" t="s">
        <v>152</v>
      </c>
      <c r="B34" s="8" t="s">
        <v>152</v>
      </c>
    </row>
    <row r="35" spans="1:3" hidden="1">
      <c r="A35" s="8" t="s">
        <v>22</v>
      </c>
      <c r="B35" s="8" t="s">
        <v>22</v>
      </c>
    </row>
    <row r="36" spans="1:3" hidden="1">
      <c r="A36" s="8" t="s">
        <v>191</v>
      </c>
      <c r="B36" s="8" t="s">
        <v>191</v>
      </c>
    </row>
    <row r="37" spans="1:3" hidden="1">
      <c r="A37" s="8" t="s">
        <v>192</v>
      </c>
      <c r="B37" s="8" t="s">
        <v>192</v>
      </c>
    </row>
    <row r="38" spans="1:3" hidden="1">
      <c r="A38" s="8" t="s">
        <v>35</v>
      </c>
      <c r="B38" s="8" t="s">
        <v>35</v>
      </c>
    </row>
    <row r="39" spans="1:3" hidden="1">
      <c r="A39" s="8" t="s">
        <v>152</v>
      </c>
      <c r="B39" s="8" t="s">
        <v>152</v>
      </c>
    </row>
    <row r="40" spans="1:3" hidden="1">
      <c r="A40" s="8" t="s">
        <v>22</v>
      </c>
      <c r="B40" s="8" t="s">
        <v>22</v>
      </c>
    </row>
    <row r="41" spans="1:3" hidden="1">
      <c r="A41" s="8" t="s">
        <v>191</v>
      </c>
      <c r="B41" s="8" t="s">
        <v>191</v>
      </c>
    </row>
    <row r="42" spans="1:3" hidden="1">
      <c r="A42" s="8" t="s">
        <v>192</v>
      </c>
      <c r="B42" s="8" t="s">
        <v>192</v>
      </c>
    </row>
    <row r="43" spans="1:3">
      <c r="A43" s="8" t="s">
        <v>158</v>
      </c>
      <c r="B43" s="8" t="s">
        <v>201</v>
      </c>
      <c r="C43" t="s">
        <v>41</v>
      </c>
    </row>
    <row r="44" spans="1:3" hidden="1">
      <c r="A44" s="8" t="s">
        <v>191</v>
      </c>
      <c r="B44" s="8" t="s">
        <v>191</v>
      </c>
    </row>
    <row r="45" spans="1:3">
      <c r="A45" s="8" t="s">
        <v>273</v>
      </c>
      <c r="B45" s="8" t="s">
        <v>201</v>
      </c>
      <c r="C45" t="s">
        <v>25</v>
      </c>
    </row>
    <row r="46" spans="1:3" hidden="1">
      <c r="A46" s="8" t="s">
        <v>37</v>
      </c>
      <c r="B46" s="8" t="s">
        <v>37</v>
      </c>
    </row>
    <row r="47" spans="1:3">
      <c r="A47" s="8" t="s">
        <v>281</v>
      </c>
      <c r="B47" s="8" t="s">
        <v>201</v>
      </c>
      <c r="C47" t="s">
        <v>41</v>
      </c>
    </row>
    <row r="48" spans="1:3" hidden="1">
      <c r="A48" s="8" t="s">
        <v>35</v>
      </c>
      <c r="B48" s="8" t="s">
        <v>35</v>
      </c>
    </row>
    <row r="49" spans="1:3">
      <c r="A49" s="8" t="s">
        <v>196</v>
      </c>
      <c r="B49" s="8" t="s">
        <v>65</v>
      </c>
      <c r="C49" t="s">
        <v>25</v>
      </c>
    </row>
    <row r="50" spans="1:3" hidden="1">
      <c r="A50" s="8" t="s">
        <v>152</v>
      </c>
      <c r="B50" s="8" t="s">
        <v>152</v>
      </c>
    </row>
    <row r="51" spans="1:3" hidden="1">
      <c r="A51" s="8" t="s">
        <v>191</v>
      </c>
      <c r="B51" s="8" t="s">
        <v>191</v>
      </c>
    </row>
    <row r="52" spans="1:3" hidden="1">
      <c r="A52" s="8" t="s">
        <v>22</v>
      </c>
      <c r="B52" s="8" t="s">
        <v>22</v>
      </c>
    </row>
    <row r="53" spans="1:3" hidden="1">
      <c r="A53" s="8" t="s">
        <v>192</v>
      </c>
      <c r="B53" s="8" t="s">
        <v>192</v>
      </c>
    </row>
    <row r="54" spans="1:3" hidden="1">
      <c r="A54" s="8" t="s">
        <v>35</v>
      </c>
      <c r="B54" s="8" t="s">
        <v>35</v>
      </c>
    </row>
    <row r="55" spans="1:3" hidden="1">
      <c r="A55" s="8" t="s">
        <v>152</v>
      </c>
      <c r="B55" s="8" t="s">
        <v>152</v>
      </c>
    </row>
    <row r="56" spans="1:3" hidden="1">
      <c r="A56" s="8" t="s">
        <v>22</v>
      </c>
      <c r="B56" s="8" t="s">
        <v>22</v>
      </c>
    </row>
    <row r="57" spans="1:3" hidden="1">
      <c r="A57" s="8" t="s">
        <v>191</v>
      </c>
      <c r="B57" s="8" t="s">
        <v>191</v>
      </c>
    </row>
    <row r="58" spans="1:3" hidden="1">
      <c r="A58" s="8" t="s">
        <v>192</v>
      </c>
      <c r="B58" s="8" t="s">
        <v>192</v>
      </c>
    </row>
    <row r="59" spans="1:3" hidden="1">
      <c r="A59" s="8" t="s">
        <v>35</v>
      </c>
      <c r="B59" s="8" t="s">
        <v>35</v>
      </c>
    </row>
    <row r="60" spans="1:3" hidden="1">
      <c r="A60" s="8" t="s">
        <v>152</v>
      </c>
      <c r="B60" s="8" t="s">
        <v>152</v>
      </c>
    </row>
    <row r="61" spans="1:3" hidden="1">
      <c r="A61" s="8" t="s">
        <v>22</v>
      </c>
      <c r="B61" s="8" t="s">
        <v>22</v>
      </c>
    </row>
    <row r="62" spans="1:3" hidden="1">
      <c r="A62" s="8" t="s">
        <v>191</v>
      </c>
      <c r="B62" s="8" t="s">
        <v>191</v>
      </c>
    </row>
    <row r="63" spans="1:3" hidden="1">
      <c r="A63" s="8" t="s">
        <v>192</v>
      </c>
      <c r="B63" s="8" t="s">
        <v>192</v>
      </c>
    </row>
    <row r="64" spans="1:3" hidden="1">
      <c r="A64" s="8" t="s">
        <v>35</v>
      </c>
      <c r="B64" s="8" t="s">
        <v>35</v>
      </c>
    </row>
    <row r="65" spans="1:3" hidden="1">
      <c r="A65" s="8" t="s">
        <v>152</v>
      </c>
      <c r="B65" s="8" t="s">
        <v>152</v>
      </c>
    </row>
    <row r="66" spans="1:3" hidden="1">
      <c r="A66" s="8" t="s">
        <v>22</v>
      </c>
      <c r="B66" s="8" t="s">
        <v>22</v>
      </c>
    </row>
    <row r="67" spans="1:3" hidden="1">
      <c r="A67" s="8" t="s">
        <v>191</v>
      </c>
      <c r="B67" s="8" t="s">
        <v>191</v>
      </c>
    </row>
    <row r="68" spans="1:3" hidden="1">
      <c r="A68" s="8" t="s">
        <v>192</v>
      </c>
      <c r="B68" s="8" t="s">
        <v>192</v>
      </c>
    </row>
    <row r="69" spans="1:3" hidden="1">
      <c r="A69" s="8" t="s">
        <v>35</v>
      </c>
      <c r="B69" s="8" t="s">
        <v>35</v>
      </c>
    </row>
    <row r="70" spans="1:3" hidden="1">
      <c r="A70" s="8" t="s">
        <v>152</v>
      </c>
      <c r="B70" s="8" t="s">
        <v>152</v>
      </c>
    </row>
    <row r="71" spans="1:3" hidden="1">
      <c r="A71" s="8" t="s">
        <v>22</v>
      </c>
      <c r="B71" s="8" t="s">
        <v>22</v>
      </c>
    </row>
    <row r="72" spans="1:3" hidden="1">
      <c r="A72" s="8" t="s">
        <v>191</v>
      </c>
      <c r="B72" s="8" t="s">
        <v>191</v>
      </c>
    </row>
    <row r="73" spans="1:3" hidden="1">
      <c r="A73" s="8" t="s">
        <v>192</v>
      </c>
      <c r="B73" s="8" t="s">
        <v>192</v>
      </c>
    </row>
    <row r="74" spans="1:3">
      <c r="A74" s="8" t="s">
        <v>159</v>
      </c>
      <c r="B74" s="8" t="s">
        <v>201</v>
      </c>
      <c r="C74" t="s">
        <v>25</v>
      </c>
    </row>
    <row r="75" spans="1:3" hidden="1">
      <c r="A75" s="8" t="s">
        <v>35</v>
      </c>
      <c r="B75" s="8" t="s">
        <v>35</v>
      </c>
    </row>
    <row r="76" spans="1:3" hidden="1">
      <c r="A76" s="8" t="s">
        <v>152</v>
      </c>
      <c r="B76" s="8" t="s">
        <v>152</v>
      </c>
    </row>
    <row r="77" spans="1:3" hidden="1">
      <c r="A77" s="8" t="s">
        <v>22</v>
      </c>
      <c r="B77" s="8" t="s">
        <v>22</v>
      </c>
    </row>
    <row r="78" spans="1:3" hidden="1">
      <c r="A78" s="8" t="s">
        <v>191</v>
      </c>
      <c r="B78" s="8" t="s">
        <v>191</v>
      </c>
    </row>
    <row r="79" spans="1:3" hidden="1">
      <c r="A79" s="8" t="s">
        <v>192</v>
      </c>
      <c r="B79" s="8" t="s">
        <v>192</v>
      </c>
    </row>
    <row r="80" spans="1:3" hidden="1">
      <c r="A80" s="8" t="s">
        <v>37</v>
      </c>
      <c r="B80" s="8" t="s">
        <v>37</v>
      </c>
    </row>
    <row r="81" spans="1:3" hidden="1">
      <c r="A81" s="8" t="s">
        <v>37</v>
      </c>
      <c r="B81" s="8" t="s">
        <v>37</v>
      </c>
    </row>
    <row r="82" spans="1:3" hidden="1">
      <c r="A82" s="8" t="s">
        <v>35</v>
      </c>
      <c r="B82" s="8" t="s">
        <v>35</v>
      </c>
    </row>
    <row r="83" spans="1:3" hidden="1">
      <c r="A83" s="8" t="s">
        <v>152</v>
      </c>
      <c r="B83" s="8" t="s">
        <v>152</v>
      </c>
    </row>
    <row r="84" spans="1:3" hidden="1">
      <c r="A84" s="8" t="s">
        <v>22</v>
      </c>
      <c r="B84" s="8" t="s">
        <v>22</v>
      </c>
    </row>
    <row r="85" spans="1:3" hidden="1">
      <c r="A85" s="8" t="s">
        <v>191</v>
      </c>
      <c r="B85" s="8" t="s">
        <v>191</v>
      </c>
    </row>
    <row r="86" spans="1:3" hidden="1">
      <c r="A86" s="8" t="s">
        <v>192</v>
      </c>
      <c r="B86" s="8" t="s">
        <v>192</v>
      </c>
    </row>
    <row r="87" spans="1:3">
      <c r="A87" s="8" t="s">
        <v>154</v>
      </c>
      <c r="B87" s="8" t="s">
        <v>65</v>
      </c>
      <c r="C87" t="s">
        <v>25</v>
      </c>
    </row>
    <row r="88" spans="1:3">
      <c r="A88" s="8" t="s">
        <v>283</v>
      </c>
      <c r="B88" s="8" t="s">
        <v>65</v>
      </c>
      <c r="C88" t="s">
        <v>25</v>
      </c>
    </row>
    <row r="89" spans="1:3" hidden="1">
      <c r="A89" s="8" t="s">
        <v>154</v>
      </c>
      <c r="B89" s="8" t="s">
        <v>154</v>
      </c>
    </row>
    <row r="90" spans="1:3" hidden="1">
      <c r="A90" s="8" t="s">
        <v>283</v>
      </c>
      <c r="B90" s="8" t="s">
        <v>283</v>
      </c>
    </row>
    <row r="91" spans="1:3">
      <c r="A91" s="8" t="s">
        <v>153</v>
      </c>
      <c r="B91" s="8" t="s">
        <v>65</v>
      </c>
      <c r="C91" t="s">
        <v>41</v>
      </c>
    </row>
    <row r="92" spans="1:3" hidden="1">
      <c r="A92" s="8" t="s">
        <v>193</v>
      </c>
      <c r="B92" s="8" t="s">
        <v>193</v>
      </c>
    </row>
    <row r="93" spans="1:3" hidden="1">
      <c r="A93" s="8" t="s">
        <v>153</v>
      </c>
      <c r="B93" s="8" t="s">
        <v>153</v>
      </c>
    </row>
    <row r="94" spans="1:3" hidden="1">
      <c r="A94" s="8" t="s">
        <v>193</v>
      </c>
      <c r="B94" s="8" t="s">
        <v>193</v>
      </c>
    </row>
    <row r="95" spans="1:3" hidden="1">
      <c r="A95" s="8" t="s">
        <v>35</v>
      </c>
      <c r="B95" s="8" t="s">
        <v>35</v>
      </c>
    </row>
    <row r="96" spans="1:3" hidden="1">
      <c r="A96" s="8" t="s">
        <v>35</v>
      </c>
      <c r="B96" s="8" t="s">
        <v>35</v>
      </c>
    </row>
    <row r="97" spans="1:3" hidden="1">
      <c r="A97" s="8" t="s">
        <v>191</v>
      </c>
      <c r="B97" s="8" t="s">
        <v>191</v>
      </c>
    </row>
    <row r="98" spans="1:3" hidden="1">
      <c r="A98" s="8" t="s">
        <v>22</v>
      </c>
      <c r="B98" s="8" t="s">
        <v>22</v>
      </c>
    </row>
    <row r="99" spans="1:3" hidden="1">
      <c r="A99" s="8" t="s">
        <v>192</v>
      </c>
      <c r="B99" s="8" t="s">
        <v>192</v>
      </c>
    </row>
    <row r="100" spans="1:3" hidden="1">
      <c r="A100" s="8" t="s">
        <v>152</v>
      </c>
      <c r="B100" s="8" t="s">
        <v>152</v>
      </c>
    </row>
    <row r="101" spans="1:3">
      <c r="A101" s="8" t="s">
        <v>202</v>
      </c>
      <c r="B101" s="8" t="s">
        <v>65</v>
      </c>
      <c r="C101" t="s">
        <v>41</v>
      </c>
    </row>
    <row r="102" spans="1:3" hidden="1">
      <c r="A102" s="8" t="s">
        <v>193</v>
      </c>
      <c r="B102" s="8" t="s">
        <v>193</v>
      </c>
    </row>
    <row r="103" spans="1:3">
      <c r="A103" s="8" t="s">
        <v>203</v>
      </c>
      <c r="B103" s="8" t="s">
        <v>65</v>
      </c>
      <c r="C103" t="s">
        <v>41</v>
      </c>
    </row>
    <row r="104" spans="1:3">
      <c r="A104" s="8" t="s">
        <v>204</v>
      </c>
      <c r="B104" s="8" t="s">
        <v>65</v>
      </c>
      <c r="C104" t="s">
        <v>41</v>
      </c>
    </row>
    <row r="105" spans="1:3" hidden="1">
      <c r="A105" s="8" t="s">
        <v>35</v>
      </c>
      <c r="B105" s="8" t="s">
        <v>35</v>
      </c>
    </row>
    <row r="106" spans="1:3" hidden="1">
      <c r="A106" s="8" t="s">
        <v>191</v>
      </c>
      <c r="B106" s="8" t="s">
        <v>191</v>
      </c>
    </row>
    <row r="107" spans="1:3" hidden="1">
      <c r="A107" s="8" t="s">
        <v>22</v>
      </c>
      <c r="B107" s="8" t="s">
        <v>22</v>
      </c>
    </row>
    <row r="108" spans="1:3" hidden="1">
      <c r="A108" s="8" t="s">
        <v>192</v>
      </c>
      <c r="B108" s="8" t="s">
        <v>192</v>
      </c>
    </row>
    <row r="109" spans="1:3" hidden="1">
      <c r="A109" s="8" t="s">
        <v>152</v>
      </c>
      <c r="B109" s="8" t="s">
        <v>152</v>
      </c>
    </row>
    <row r="110" spans="1:3" hidden="1">
      <c r="A110" s="8" t="s">
        <v>202</v>
      </c>
      <c r="B110" s="8" t="s">
        <v>202</v>
      </c>
    </row>
    <row r="111" spans="1:3" hidden="1">
      <c r="A111" s="8" t="s">
        <v>193</v>
      </c>
      <c r="B111" s="8" t="s">
        <v>193</v>
      </c>
    </row>
    <row r="112" spans="1:3" hidden="1">
      <c r="A112" s="8" t="s">
        <v>203</v>
      </c>
      <c r="B112" s="8" t="s">
        <v>203</v>
      </c>
    </row>
    <row r="113" spans="1:2" hidden="1">
      <c r="A113" s="8" t="s">
        <v>204</v>
      </c>
      <c r="B113" s="8" t="s">
        <v>204</v>
      </c>
    </row>
    <row r="114" spans="1:2" hidden="1">
      <c r="A114" s="8" t="s">
        <v>35</v>
      </c>
      <c r="B114" s="8" t="s">
        <v>35</v>
      </c>
    </row>
    <row r="115" spans="1:2" hidden="1">
      <c r="A115" s="8" t="s">
        <v>191</v>
      </c>
      <c r="B115" s="8" t="s">
        <v>191</v>
      </c>
    </row>
    <row r="116" spans="1:2" hidden="1">
      <c r="A116" s="8" t="s">
        <v>22</v>
      </c>
      <c r="B116" s="8" t="s">
        <v>22</v>
      </c>
    </row>
    <row r="117" spans="1:2" hidden="1">
      <c r="A117" s="8" t="s">
        <v>192</v>
      </c>
      <c r="B117" s="8" t="s">
        <v>192</v>
      </c>
    </row>
    <row r="118" spans="1:2" hidden="1">
      <c r="A118" s="8" t="s">
        <v>152</v>
      </c>
      <c r="B118" s="8" t="s">
        <v>152</v>
      </c>
    </row>
    <row r="119" spans="1:2" hidden="1">
      <c r="A119" s="8" t="s">
        <v>202</v>
      </c>
      <c r="B119" s="8" t="s">
        <v>202</v>
      </c>
    </row>
    <row r="120" spans="1:2" hidden="1">
      <c r="A120" s="8" t="s">
        <v>203</v>
      </c>
      <c r="B120" s="8" t="s">
        <v>203</v>
      </c>
    </row>
    <row r="121" spans="1:2" hidden="1">
      <c r="A121" s="8" t="s">
        <v>204</v>
      </c>
      <c r="B121" s="8" t="s">
        <v>204</v>
      </c>
    </row>
    <row r="122" spans="1:2" hidden="1">
      <c r="A122" s="8" t="s">
        <v>35</v>
      </c>
      <c r="B122" s="8" t="s">
        <v>35</v>
      </c>
    </row>
    <row r="123" spans="1:2" hidden="1">
      <c r="A123" s="8" t="s">
        <v>191</v>
      </c>
      <c r="B123" s="8" t="s">
        <v>191</v>
      </c>
    </row>
    <row r="124" spans="1:2" hidden="1">
      <c r="A124" s="8" t="s">
        <v>22</v>
      </c>
      <c r="B124" s="8" t="s">
        <v>22</v>
      </c>
    </row>
    <row r="125" spans="1:2" hidden="1">
      <c r="A125" s="8" t="s">
        <v>192</v>
      </c>
      <c r="B125" s="8" t="s">
        <v>192</v>
      </c>
    </row>
    <row r="126" spans="1:2" hidden="1">
      <c r="A126" s="8" t="s">
        <v>152</v>
      </c>
      <c r="B126" s="8" t="s">
        <v>152</v>
      </c>
    </row>
    <row r="127" spans="1:2" hidden="1">
      <c r="A127" s="8" t="s">
        <v>202</v>
      </c>
      <c r="B127" s="8" t="s">
        <v>202</v>
      </c>
    </row>
    <row r="128" spans="1:2" hidden="1">
      <c r="A128" s="8" t="s">
        <v>193</v>
      </c>
      <c r="B128" s="8" t="s">
        <v>193</v>
      </c>
    </row>
    <row r="129" spans="1:2" hidden="1">
      <c r="A129" s="8" t="s">
        <v>203</v>
      </c>
      <c r="B129" s="8" t="s">
        <v>203</v>
      </c>
    </row>
    <row r="130" spans="1:2" hidden="1">
      <c r="A130" s="8" t="s">
        <v>204</v>
      </c>
      <c r="B130" s="8" t="s">
        <v>204</v>
      </c>
    </row>
    <row r="131" spans="1:2" hidden="1">
      <c r="A131" s="8" t="s">
        <v>35</v>
      </c>
      <c r="B131" s="8" t="s">
        <v>35</v>
      </c>
    </row>
    <row r="132" spans="1:2" hidden="1">
      <c r="A132" s="8" t="s">
        <v>191</v>
      </c>
      <c r="B132" s="8" t="s">
        <v>191</v>
      </c>
    </row>
    <row r="133" spans="1:2" hidden="1">
      <c r="A133" s="8" t="s">
        <v>22</v>
      </c>
      <c r="B133" s="8" t="s">
        <v>22</v>
      </c>
    </row>
    <row r="134" spans="1:2" hidden="1">
      <c r="A134" s="8" t="s">
        <v>192</v>
      </c>
      <c r="B134" s="8" t="s">
        <v>192</v>
      </c>
    </row>
    <row r="135" spans="1:2" hidden="1">
      <c r="A135" s="8" t="s">
        <v>152</v>
      </c>
      <c r="B135" s="8" t="s">
        <v>152</v>
      </c>
    </row>
    <row r="136" spans="1:2" hidden="1">
      <c r="A136" s="8" t="s">
        <v>202</v>
      </c>
      <c r="B136" s="8" t="s">
        <v>202</v>
      </c>
    </row>
    <row r="137" spans="1:2" hidden="1">
      <c r="A137" s="8" t="s">
        <v>193</v>
      </c>
      <c r="B137" s="8" t="s">
        <v>193</v>
      </c>
    </row>
    <row r="138" spans="1:2" hidden="1">
      <c r="A138" s="8" t="s">
        <v>203</v>
      </c>
      <c r="B138" s="8" t="s">
        <v>203</v>
      </c>
    </row>
    <row r="139" spans="1:2" hidden="1">
      <c r="A139" s="8" t="s">
        <v>204</v>
      </c>
      <c r="B139" s="8" t="s">
        <v>204</v>
      </c>
    </row>
    <row r="140" spans="1:2" hidden="1">
      <c r="A140" s="8" t="s">
        <v>193</v>
      </c>
      <c r="B140" s="8" t="s">
        <v>193</v>
      </c>
    </row>
    <row r="141" spans="1:2" hidden="1">
      <c r="A141" s="8" t="s">
        <v>35</v>
      </c>
      <c r="B141" s="8" t="s">
        <v>35</v>
      </c>
    </row>
    <row r="142" spans="1:2" hidden="1">
      <c r="A142" s="8" t="s">
        <v>191</v>
      </c>
      <c r="B142" s="8" t="s">
        <v>191</v>
      </c>
    </row>
    <row r="143" spans="1:2" hidden="1">
      <c r="A143" s="8" t="s">
        <v>22</v>
      </c>
      <c r="B143" s="8" t="s">
        <v>22</v>
      </c>
    </row>
    <row r="144" spans="1:2" hidden="1">
      <c r="A144" s="8" t="s">
        <v>192</v>
      </c>
      <c r="B144" s="8" t="s">
        <v>192</v>
      </c>
    </row>
    <row r="145" spans="1:2" hidden="1">
      <c r="A145" s="8" t="s">
        <v>152</v>
      </c>
      <c r="B145" s="8" t="s">
        <v>152</v>
      </c>
    </row>
    <row r="146" spans="1:2" hidden="1">
      <c r="A146" s="8" t="s">
        <v>202</v>
      </c>
      <c r="B146" s="8" t="s">
        <v>202</v>
      </c>
    </row>
    <row r="147" spans="1:2" hidden="1">
      <c r="A147" s="8" t="s">
        <v>193</v>
      </c>
      <c r="B147" s="8" t="s">
        <v>193</v>
      </c>
    </row>
    <row r="148" spans="1:2" hidden="1">
      <c r="A148" s="8" t="s">
        <v>203</v>
      </c>
      <c r="B148" s="8" t="s">
        <v>203</v>
      </c>
    </row>
    <row r="149" spans="1:2" hidden="1">
      <c r="A149" s="8" t="s">
        <v>204</v>
      </c>
      <c r="B149" s="8" t="s">
        <v>204</v>
      </c>
    </row>
    <row r="150" spans="1:2" hidden="1">
      <c r="A150" s="8" t="s">
        <v>35</v>
      </c>
      <c r="B150" s="8" t="s">
        <v>35</v>
      </c>
    </row>
    <row r="151" spans="1:2" hidden="1">
      <c r="A151" s="8" t="s">
        <v>191</v>
      </c>
      <c r="B151" s="8" t="s">
        <v>191</v>
      </c>
    </row>
    <row r="152" spans="1:2" hidden="1">
      <c r="A152" s="8" t="s">
        <v>22</v>
      </c>
      <c r="B152" s="8" t="s">
        <v>22</v>
      </c>
    </row>
    <row r="153" spans="1:2" hidden="1">
      <c r="A153" s="8" t="s">
        <v>192</v>
      </c>
      <c r="B153" s="8" t="s">
        <v>192</v>
      </c>
    </row>
    <row r="154" spans="1:2" hidden="1">
      <c r="A154" s="8" t="s">
        <v>152</v>
      </c>
      <c r="B154" s="8" t="s">
        <v>152</v>
      </c>
    </row>
    <row r="155" spans="1:2" hidden="1">
      <c r="A155" s="8" t="s">
        <v>202</v>
      </c>
      <c r="B155" s="8" t="s">
        <v>202</v>
      </c>
    </row>
    <row r="156" spans="1:2" hidden="1">
      <c r="A156" s="8" t="s">
        <v>193</v>
      </c>
      <c r="B156" s="8" t="s">
        <v>193</v>
      </c>
    </row>
    <row r="157" spans="1:2" hidden="1">
      <c r="A157" s="8" t="s">
        <v>203</v>
      </c>
      <c r="B157" s="8" t="s">
        <v>203</v>
      </c>
    </row>
    <row r="158" spans="1:2" hidden="1">
      <c r="A158" s="8" t="s">
        <v>204</v>
      </c>
      <c r="B158" s="8" t="s">
        <v>204</v>
      </c>
    </row>
    <row r="159" spans="1:2" hidden="1">
      <c r="A159" s="8" t="s">
        <v>35</v>
      </c>
      <c r="B159" s="8" t="s">
        <v>35</v>
      </c>
    </row>
    <row r="160" spans="1:2" hidden="1">
      <c r="A160" s="8" t="s">
        <v>191</v>
      </c>
      <c r="B160" s="8" t="s">
        <v>191</v>
      </c>
    </row>
    <row r="161" spans="1:2" hidden="1">
      <c r="A161" s="8" t="s">
        <v>22</v>
      </c>
      <c r="B161" s="8" t="s">
        <v>22</v>
      </c>
    </row>
    <row r="162" spans="1:2" hidden="1">
      <c r="A162" s="8" t="s">
        <v>192</v>
      </c>
      <c r="B162" s="8" t="s">
        <v>192</v>
      </c>
    </row>
    <row r="163" spans="1:2" hidden="1">
      <c r="A163" s="8" t="s">
        <v>152</v>
      </c>
      <c r="B163" s="8" t="s">
        <v>152</v>
      </c>
    </row>
    <row r="164" spans="1:2" hidden="1">
      <c r="A164" s="8" t="s">
        <v>202</v>
      </c>
      <c r="B164" s="8" t="s">
        <v>202</v>
      </c>
    </row>
    <row r="165" spans="1:2" hidden="1">
      <c r="A165" s="8" t="s">
        <v>193</v>
      </c>
      <c r="B165" s="8" t="s">
        <v>193</v>
      </c>
    </row>
    <row r="166" spans="1:2" hidden="1">
      <c r="A166" s="8" t="s">
        <v>203</v>
      </c>
      <c r="B166" s="8" t="s">
        <v>203</v>
      </c>
    </row>
    <row r="167" spans="1:2" hidden="1">
      <c r="A167" s="8" t="s">
        <v>204</v>
      </c>
      <c r="B167" s="8" t="s">
        <v>204</v>
      </c>
    </row>
    <row r="168" spans="1:2" hidden="1">
      <c r="A168" s="8" t="s">
        <v>35</v>
      </c>
      <c r="B168" s="8" t="s">
        <v>35</v>
      </c>
    </row>
    <row r="169" spans="1:2" hidden="1">
      <c r="A169" s="8" t="s">
        <v>191</v>
      </c>
      <c r="B169" s="8" t="s">
        <v>191</v>
      </c>
    </row>
    <row r="170" spans="1:2" hidden="1">
      <c r="A170" s="8" t="s">
        <v>22</v>
      </c>
      <c r="B170" s="8" t="s">
        <v>22</v>
      </c>
    </row>
    <row r="171" spans="1:2" hidden="1">
      <c r="A171" s="8" t="s">
        <v>192</v>
      </c>
      <c r="B171" s="8" t="s">
        <v>192</v>
      </c>
    </row>
    <row r="172" spans="1:2" hidden="1">
      <c r="A172" s="8" t="s">
        <v>152</v>
      </c>
      <c r="B172" s="8" t="s">
        <v>152</v>
      </c>
    </row>
    <row r="173" spans="1:2" hidden="1">
      <c r="A173" s="8" t="s">
        <v>202</v>
      </c>
      <c r="B173" s="8" t="s">
        <v>202</v>
      </c>
    </row>
    <row r="174" spans="1:2" hidden="1">
      <c r="A174" s="8" t="s">
        <v>193</v>
      </c>
      <c r="B174" s="8" t="s">
        <v>193</v>
      </c>
    </row>
    <row r="175" spans="1:2" hidden="1">
      <c r="A175" s="8" t="s">
        <v>203</v>
      </c>
      <c r="B175" s="8" t="s">
        <v>203</v>
      </c>
    </row>
    <row r="176" spans="1:2" hidden="1">
      <c r="A176" s="8" t="s">
        <v>204</v>
      </c>
      <c r="B176" s="8" t="s">
        <v>204</v>
      </c>
    </row>
    <row r="177" spans="1:3" hidden="1">
      <c r="A177" s="8" t="s">
        <v>35</v>
      </c>
      <c r="B177" s="8" t="s">
        <v>35</v>
      </c>
    </row>
    <row r="178" spans="1:3" hidden="1">
      <c r="A178" s="8" t="s">
        <v>191</v>
      </c>
      <c r="B178" s="8" t="s">
        <v>191</v>
      </c>
    </row>
    <row r="179" spans="1:3" hidden="1">
      <c r="A179" s="8" t="s">
        <v>22</v>
      </c>
      <c r="B179" s="8" t="s">
        <v>22</v>
      </c>
    </row>
    <row r="180" spans="1:3" hidden="1">
      <c r="A180" s="8" t="s">
        <v>192</v>
      </c>
      <c r="B180" s="8" t="s">
        <v>192</v>
      </c>
    </row>
    <row r="181" spans="1:3" hidden="1">
      <c r="A181" s="8" t="s">
        <v>152</v>
      </c>
      <c r="B181" s="8" t="s">
        <v>152</v>
      </c>
    </row>
    <row r="182" spans="1:3" hidden="1">
      <c r="A182" s="8" t="s">
        <v>202</v>
      </c>
      <c r="B182" s="8" t="s">
        <v>202</v>
      </c>
    </row>
    <row r="183" spans="1:3" hidden="1">
      <c r="A183" s="8" t="s">
        <v>193</v>
      </c>
      <c r="B183" s="8" t="s">
        <v>193</v>
      </c>
    </row>
    <row r="184" spans="1:3" hidden="1">
      <c r="A184" s="8" t="s">
        <v>203</v>
      </c>
      <c r="B184" s="8" t="s">
        <v>203</v>
      </c>
    </row>
    <row r="185" spans="1:3" hidden="1">
      <c r="A185" s="8" t="s">
        <v>204</v>
      </c>
      <c r="B185" s="8" t="s">
        <v>204</v>
      </c>
    </row>
    <row r="186" spans="1:3">
      <c r="A186" s="8" t="s">
        <v>298</v>
      </c>
      <c r="B186" s="8" t="s">
        <v>25</v>
      </c>
      <c r="C186" t="s">
        <v>25</v>
      </c>
    </row>
    <row r="187" spans="1:3" hidden="1">
      <c r="A187" s="8" t="s">
        <v>35</v>
      </c>
      <c r="B187" s="8" t="s">
        <v>35</v>
      </c>
    </row>
    <row r="188" spans="1:3" hidden="1">
      <c r="A188" s="8" t="s">
        <v>191</v>
      </c>
      <c r="B188" s="8" t="s">
        <v>191</v>
      </c>
    </row>
    <row r="189" spans="1:3" hidden="1">
      <c r="A189" s="8" t="s">
        <v>22</v>
      </c>
      <c r="B189" s="8" t="s">
        <v>22</v>
      </c>
    </row>
    <row r="190" spans="1:3" hidden="1">
      <c r="A190" s="8" t="s">
        <v>192</v>
      </c>
      <c r="B190" s="8" t="s">
        <v>192</v>
      </c>
    </row>
    <row r="191" spans="1:3" hidden="1">
      <c r="A191" s="8" t="s">
        <v>152</v>
      </c>
      <c r="B191" s="8" t="s">
        <v>152</v>
      </c>
    </row>
    <row r="192" spans="1:3" hidden="1">
      <c r="A192" s="8" t="s">
        <v>202</v>
      </c>
      <c r="B192" s="8" t="s">
        <v>202</v>
      </c>
    </row>
    <row r="193" spans="1:2" hidden="1">
      <c r="A193" s="8" t="s">
        <v>193</v>
      </c>
      <c r="B193" s="8" t="s">
        <v>193</v>
      </c>
    </row>
    <row r="194" spans="1:2" hidden="1">
      <c r="A194" s="8" t="s">
        <v>203</v>
      </c>
      <c r="B194" s="8" t="s">
        <v>203</v>
      </c>
    </row>
    <row r="195" spans="1:2" hidden="1">
      <c r="A195" s="8" t="s">
        <v>204</v>
      </c>
      <c r="B195" s="8" t="s">
        <v>204</v>
      </c>
    </row>
    <row r="196" spans="1:2" hidden="1">
      <c r="A196" s="8" t="s">
        <v>35</v>
      </c>
      <c r="B196" s="8" t="s">
        <v>35</v>
      </c>
    </row>
    <row r="197" spans="1:2" hidden="1">
      <c r="A197" s="8" t="s">
        <v>191</v>
      </c>
      <c r="B197" s="8" t="s">
        <v>191</v>
      </c>
    </row>
    <row r="198" spans="1:2" hidden="1">
      <c r="A198" s="8" t="s">
        <v>22</v>
      </c>
      <c r="B198" s="8" t="s">
        <v>22</v>
      </c>
    </row>
    <row r="199" spans="1:2" hidden="1">
      <c r="A199" s="8" t="s">
        <v>192</v>
      </c>
      <c r="B199" s="8" t="s">
        <v>192</v>
      </c>
    </row>
    <row r="200" spans="1:2" hidden="1">
      <c r="A200" s="8" t="s">
        <v>152</v>
      </c>
      <c r="B200" s="8" t="s">
        <v>152</v>
      </c>
    </row>
    <row r="201" spans="1:2" hidden="1">
      <c r="A201" s="8" t="s">
        <v>202</v>
      </c>
      <c r="B201" s="8" t="s">
        <v>202</v>
      </c>
    </row>
    <row r="202" spans="1:2" hidden="1">
      <c r="A202" s="8" t="s">
        <v>193</v>
      </c>
      <c r="B202" s="8" t="s">
        <v>193</v>
      </c>
    </row>
    <row r="203" spans="1:2" hidden="1">
      <c r="A203" s="8" t="s">
        <v>203</v>
      </c>
      <c r="B203" s="8" t="s">
        <v>203</v>
      </c>
    </row>
    <row r="204" spans="1:2" hidden="1">
      <c r="A204" s="8" t="s">
        <v>204</v>
      </c>
      <c r="B204" s="8" t="s">
        <v>204</v>
      </c>
    </row>
    <row r="205" spans="1:2" hidden="1">
      <c r="A205" s="8" t="s">
        <v>35</v>
      </c>
      <c r="B205" s="8" t="s">
        <v>35</v>
      </c>
    </row>
    <row r="206" spans="1:2" hidden="1">
      <c r="A206" s="8" t="s">
        <v>191</v>
      </c>
      <c r="B206" s="8" t="s">
        <v>191</v>
      </c>
    </row>
    <row r="207" spans="1:2" hidden="1">
      <c r="A207" s="8" t="s">
        <v>22</v>
      </c>
      <c r="B207" s="8" t="s">
        <v>22</v>
      </c>
    </row>
    <row r="208" spans="1:2" hidden="1">
      <c r="A208" s="8" t="s">
        <v>192</v>
      </c>
      <c r="B208" s="8" t="s">
        <v>192</v>
      </c>
    </row>
    <row r="209" spans="1:2" hidden="1">
      <c r="A209" s="8" t="s">
        <v>152</v>
      </c>
      <c r="B209" s="8" t="s">
        <v>152</v>
      </c>
    </row>
    <row r="210" spans="1:2" hidden="1">
      <c r="A210" s="8" t="s">
        <v>202</v>
      </c>
      <c r="B210" s="8" t="s">
        <v>202</v>
      </c>
    </row>
    <row r="211" spans="1:2" hidden="1">
      <c r="A211" s="8" t="s">
        <v>193</v>
      </c>
      <c r="B211" s="8" t="s">
        <v>193</v>
      </c>
    </row>
    <row r="212" spans="1:2" hidden="1">
      <c r="A212" s="8" t="s">
        <v>203</v>
      </c>
      <c r="B212" s="8" t="s">
        <v>203</v>
      </c>
    </row>
    <row r="213" spans="1:2" hidden="1">
      <c r="A213" s="8" t="s">
        <v>204</v>
      </c>
      <c r="B213" s="8" t="s">
        <v>204</v>
      </c>
    </row>
    <row r="214" spans="1:2" hidden="1">
      <c r="A214" s="8" t="s">
        <v>35</v>
      </c>
      <c r="B214" s="8" t="s">
        <v>35</v>
      </c>
    </row>
    <row r="215" spans="1:2" hidden="1">
      <c r="A215" s="8" t="s">
        <v>191</v>
      </c>
      <c r="B215" s="8" t="s">
        <v>191</v>
      </c>
    </row>
    <row r="216" spans="1:2" hidden="1">
      <c r="A216" s="8" t="s">
        <v>22</v>
      </c>
      <c r="B216" s="8" t="s">
        <v>22</v>
      </c>
    </row>
    <row r="217" spans="1:2" hidden="1">
      <c r="A217" s="8" t="s">
        <v>192</v>
      </c>
      <c r="B217" s="8" t="s">
        <v>192</v>
      </c>
    </row>
    <row r="218" spans="1:2" hidden="1">
      <c r="A218" s="8" t="s">
        <v>152</v>
      </c>
      <c r="B218" s="8" t="s">
        <v>152</v>
      </c>
    </row>
    <row r="219" spans="1:2" hidden="1">
      <c r="A219" s="8" t="s">
        <v>202</v>
      </c>
      <c r="B219" s="8" t="s">
        <v>202</v>
      </c>
    </row>
    <row r="220" spans="1:2" hidden="1">
      <c r="A220" s="8" t="s">
        <v>193</v>
      </c>
      <c r="B220" s="8" t="s">
        <v>193</v>
      </c>
    </row>
    <row r="221" spans="1:2" hidden="1">
      <c r="A221" s="8" t="s">
        <v>203</v>
      </c>
      <c r="B221" s="8" t="s">
        <v>203</v>
      </c>
    </row>
    <row r="222" spans="1:2" hidden="1">
      <c r="A222" s="8" t="s">
        <v>204</v>
      </c>
      <c r="B222" s="8" t="s">
        <v>204</v>
      </c>
    </row>
    <row r="223" spans="1:2" hidden="1">
      <c r="A223" s="8" t="s">
        <v>35</v>
      </c>
      <c r="B223" s="8" t="s">
        <v>35</v>
      </c>
    </row>
    <row r="224" spans="1:2" hidden="1">
      <c r="A224" s="8" t="s">
        <v>191</v>
      </c>
      <c r="B224" s="8" t="s">
        <v>191</v>
      </c>
    </row>
    <row r="225" spans="1:2" hidden="1">
      <c r="A225" s="8" t="s">
        <v>22</v>
      </c>
      <c r="B225" s="8" t="s">
        <v>22</v>
      </c>
    </row>
    <row r="226" spans="1:2" hidden="1">
      <c r="A226" s="8" t="s">
        <v>192</v>
      </c>
      <c r="B226" s="8" t="s">
        <v>192</v>
      </c>
    </row>
    <row r="227" spans="1:2" hidden="1">
      <c r="A227" s="8" t="s">
        <v>152</v>
      </c>
      <c r="B227" s="8" t="s">
        <v>152</v>
      </c>
    </row>
    <row r="228" spans="1:2" hidden="1">
      <c r="A228" s="8" t="s">
        <v>202</v>
      </c>
      <c r="B228" s="8" t="s">
        <v>202</v>
      </c>
    </row>
    <row r="229" spans="1:2" hidden="1">
      <c r="A229" s="8" t="s">
        <v>193</v>
      </c>
      <c r="B229" s="8" t="s">
        <v>193</v>
      </c>
    </row>
    <row r="230" spans="1:2" hidden="1">
      <c r="A230" s="8" t="s">
        <v>203</v>
      </c>
      <c r="B230" s="8" t="s">
        <v>203</v>
      </c>
    </row>
    <row r="231" spans="1:2" hidden="1">
      <c r="A231" s="8" t="s">
        <v>204</v>
      </c>
      <c r="B231" s="8" t="s">
        <v>204</v>
      </c>
    </row>
    <row r="232" spans="1:2" hidden="1">
      <c r="A232" s="8" t="s">
        <v>35</v>
      </c>
      <c r="B232" s="8" t="s">
        <v>35</v>
      </c>
    </row>
    <row r="233" spans="1:2" hidden="1">
      <c r="A233" s="8" t="s">
        <v>191</v>
      </c>
      <c r="B233" s="8" t="s">
        <v>191</v>
      </c>
    </row>
    <row r="234" spans="1:2" hidden="1">
      <c r="A234" s="8" t="s">
        <v>22</v>
      </c>
      <c r="B234" s="8" t="s">
        <v>22</v>
      </c>
    </row>
    <row r="235" spans="1:2" hidden="1">
      <c r="A235" s="8" t="s">
        <v>192</v>
      </c>
      <c r="B235" s="8" t="s">
        <v>192</v>
      </c>
    </row>
    <row r="236" spans="1:2" hidden="1">
      <c r="A236" s="8" t="s">
        <v>152</v>
      </c>
      <c r="B236" s="8" t="s">
        <v>152</v>
      </c>
    </row>
    <row r="237" spans="1:2" hidden="1">
      <c r="A237" s="8" t="s">
        <v>202</v>
      </c>
      <c r="B237" s="8" t="s">
        <v>202</v>
      </c>
    </row>
    <row r="238" spans="1:2" hidden="1">
      <c r="A238" s="8" t="s">
        <v>193</v>
      </c>
      <c r="B238" s="8" t="s">
        <v>193</v>
      </c>
    </row>
    <row r="239" spans="1:2" hidden="1">
      <c r="A239" s="8" t="s">
        <v>203</v>
      </c>
      <c r="B239" s="8" t="s">
        <v>203</v>
      </c>
    </row>
    <row r="240" spans="1:2" hidden="1">
      <c r="A240" s="8" t="s">
        <v>204</v>
      </c>
      <c r="B240" s="8" t="s">
        <v>204</v>
      </c>
    </row>
    <row r="241" spans="1:3" hidden="1">
      <c r="A241" s="8" t="s">
        <v>298</v>
      </c>
      <c r="B241" s="8" t="s">
        <v>298</v>
      </c>
    </row>
    <row r="242" spans="1:3" hidden="1">
      <c r="A242" s="8" t="s">
        <v>35</v>
      </c>
      <c r="B242" s="8" t="s">
        <v>35</v>
      </c>
    </row>
    <row r="243" spans="1:3" hidden="1">
      <c r="A243" s="8" t="s">
        <v>191</v>
      </c>
      <c r="B243" s="8" t="s">
        <v>191</v>
      </c>
    </row>
    <row r="244" spans="1:3" hidden="1">
      <c r="A244" s="8" t="s">
        <v>22</v>
      </c>
      <c r="B244" s="8" t="s">
        <v>22</v>
      </c>
    </row>
    <row r="245" spans="1:3" hidden="1">
      <c r="A245" s="8" t="s">
        <v>192</v>
      </c>
      <c r="B245" s="8" t="s">
        <v>192</v>
      </c>
    </row>
    <row r="246" spans="1:3" hidden="1">
      <c r="A246" s="8" t="s">
        <v>152</v>
      </c>
      <c r="B246" s="8" t="s">
        <v>152</v>
      </c>
    </row>
    <row r="247" spans="1:3" hidden="1">
      <c r="A247" s="8" t="s">
        <v>202</v>
      </c>
      <c r="B247" s="8" t="s">
        <v>202</v>
      </c>
    </row>
    <row r="248" spans="1:3" hidden="1">
      <c r="A248" s="8" t="s">
        <v>193</v>
      </c>
      <c r="B248" s="8" t="s">
        <v>193</v>
      </c>
    </row>
    <row r="249" spans="1:3" hidden="1">
      <c r="A249" s="8" t="s">
        <v>203</v>
      </c>
      <c r="B249" s="8" t="s">
        <v>203</v>
      </c>
    </row>
    <row r="250" spans="1:3" hidden="1">
      <c r="A250" s="8" t="s">
        <v>204</v>
      </c>
      <c r="B250" s="8" t="s">
        <v>204</v>
      </c>
    </row>
    <row r="251" spans="1:3">
      <c r="A251" s="8" t="s">
        <v>162</v>
      </c>
      <c r="B251" s="8" t="s">
        <v>201</v>
      </c>
      <c r="C251" t="s">
        <v>25</v>
      </c>
    </row>
    <row r="252" spans="1:3">
      <c r="A252" s="8" t="s">
        <v>156</v>
      </c>
      <c r="B252" s="8" t="s">
        <v>65</v>
      </c>
      <c r="C252" t="s">
        <v>25</v>
      </c>
    </row>
    <row r="253" spans="1:3" hidden="1">
      <c r="A253" s="8" t="s">
        <v>156</v>
      </c>
      <c r="B253" s="8" t="s">
        <v>156</v>
      </c>
    </row>
    <row r="254" spans="1:3" hidden="1">
      <c r="A254" s="8" t="s">
        <v>156</v>
      </c>
      <c r="B254" s="8" t="s">
        <v>156</v>
      </c>
    </row>
    <row r="255" spans="1:3" hidden="1">
      <c r="A255" s="8" t="s">
        <v>156</v>
      </c>
      <c r="B255" s="8" t="s">
        <v>156</v>
      </c>
    </row>
    <row r="256" spans="1:3">
      <c r="A256" s="8" t="s">
        <v>155</v>
      </c>
      <c r="B256" s="8" t="s">
        <v>65</v>
      </c>
      <c r="C256" t="s">
        <v>25</v>
      </c>
    </row>
    <row r="257" spans="1:3" hidden="1">
      <c r="A257" s="8" t="s">
        <v>156</v>
      </c>
      <c r="B257" s="8" t="s">
        <v>156</v>
      </c>
    </row>
    <row r="258" spans="1:3">
      <c r="A258" s="8" t="s">
        <v>26</v>
      </c>
      <c r="B258" s="8" t="s">
        <v>25</v>
      </c>
      <c r="C258" t="s">
        <v>25</v>
      </c>
    </row>
    <row r="259" spans="1:3" hidden="1">
      <c r="A259" s="8" t="s">
        <v>26</v>
      </c>
      <c r="B259" s="8" t="s">
        <v>26</v>
      </c>
    </row>
    <row r="260" spans="1:3">
      <c r="A260" s="8" t="s">
        <v>161</v>
      </c>
      <c r="B260" s="8" t="s">
        <v>41</v>
      </c>
      <c r="C260" t="s">
        <v>41</v>
      </c>
    </row>
    <row r="261" spans="1:3" hidden="1">
      <c r="A261" s="8" t="s">
        <v>193</v>
      </c>
      <c r="B261" s="8" t="s">
        <v>193</v>
      </c>
    </row>
    <row r="262" spans="1:3" hidden="1">
      <c r="A262" s="8" t="s">
        <v>161</v>
      </c>
      <c r="B262" s="8" t="s">
        <v>161</v>
      </c>
    </row>
    <row r="263" spans="1:3" hidden="1">
      <c r="A263" s="8" t="s">
        <v>193</v>
      </c>
      <c r="B263" s="8" t="s">
        <v>193</v>
      </c>
    </row>
    <row r="264" spans="1:3" hidden="1">
      <c r="A264" s="8" t="s">
        <v>160</v>
      </c>
      <c r="B264" s="8" t="s">
        <v>160</v>
      </c>
    </row>
    <row r="265" spans="1:3" hidden="1">
      <c r="A265" s="8" t="s">
        <v>161</v>
      </c>
      <c r="B265" s="8" t="s">
        <v>161</v>
      </c>
    </row>
    <row r="266" spans="1:3" hidden="1">
      <c r="A266" s="8" t="s">
        <v>193</v>
      </c>
      <c r="B266" s="8" t="s">
        <v>193</v>
      </c>
    </row>
    <row r="267" spans="1:3" hidden="1">
      <c r="A267" s="8" t="s">
        <v>26</v>
      </c>
      <c r="B267" s="8" t="s">
        <v>26</v>
      </c>
    </row>
    <row r="268" spans="1:3" hidden="1">
      <c r="A268" s="8" t="s">
        <v>160</v>
      </c>
      <c r="B268" s="8" t="s">
        <v>160</v>
      </c>
    </row>
    <row r="269" spans="1:3" hidden="1">
      <c r="A269" s="8" t="s">
        <v>154</v>
      </c>
      <c r="B269" s="8" t="s">
        <v>154</v>
      </c>
    </row>
    <row r="270" spans="1:3" hidden="1">
      <c r="A270" s="8" t="s">
        <v>35</v>
      </c>
      <c r="B270" s="8" t="s">
        <v>35</v>
      </c>
    </row>
    <row r="271" spans="1:3" hidden="1">
      <c r="A271" s="8" t="s">
        <v>191</v>
      </c>
      <c r="B271" s="8" t="s">
        <v>191</v>
      </c>
    </row>
    <row r="272" spans="1:3" hidden="1">
      <c r="A272" s="8" t="s">
        <v>22</v>
      </c>
      <c r="B272" s="8" t="s">
        <v>22</v>
      </c>
    </row>
    <row r="273" spans="1:2" hidden="1">
      <c r="A273" s="8" t="s">
        <v>192</v>
      </c>
      <c r="B273" s="8" t="s">
        <v>192</v>
      </c>
    </row>
    <row r="274" spans="1:2" hidden="1">
      <c r="A274" s="8" t="s">
        <v>152</v>
      </c>
      <c r="B274" s="8" t="s">
        <v>152</v>
      </c>
    </row>
    <row r="275" spans="1:2" hidden="1">
      <c r="A275" s="8" t="s">
        <v>202</v>
      </c>
      <c r="B275" s="8" t="s">
        <v>202</v>
      </c>
    </row>
    <row r="276" spans="1:2" hidden="1">
      <c r="A276" s="8" t="s">
        <v>193</v>
      </c>
      <c r="B276" s="8" t="s">
        <v>193</v>
      </c>
    </row>
    <row r="277" spans="1:2" hidden="1">
      <c r="A277" s="8" t="s">
        <v>203</v>
      </c>
      <c r="B277" s="8" t="s">
        <v>203</v>
      </c>
    </row>
    <row r="278" spans="1:2" hidden="1">
      <c r="A278" s="8" t="s">
        <v>204</v>
      </c>
      <c r="B278" s="8" t="s">
        <v>204</v>
      </c>
    </row>
    <row r="279" spans="1:2" hidden="1">
      <c r="A279" s="8" t="s">
        <v>35</v>
      </c>
      <c r="B279" s="8" t="s">
        <v>35</v>
      </c>
    </row>
    <row r="280" spans="1:2" hidden="1">
      <c r="A280" s="8" t="s">
        <v>191</v>
      </c>
      <c r="B280" s="8" t="s">
        <v>191</v>
      </c>
    </row>
    <row r="281" spans="1:2" hidden="1">
      <c r="A281" s="8" t="s">
        <v>22</v>
      </c>
      <c r="B281" s="8" t="s">
        <v>22</v>
      </c>
    </row>
    <row r="282" spans="1:2" hidden="1">
      <c r="A282" s="8" t="s">
        <v>192</v>
      </c>
      <c r="B282" s="8" t="s">
        <v>192</v>
      </c>
    </row>
    <row r="283" spans="1:2" hidden="1">
      <c r="A283" s="8" t="s">
        <v>152</v>
      </c>
      <c r="B283" s="8" t="s">
        <v>152</v>
      </c>
    </row>
    <row r="284" spans="1:2" hidden="1">
      <c r="A284" s="8" t="s">
        <v>202</v>
      </c>
      <c r="B284" s="8" t="s">
        <v>202</v>
      </c>
    </row>
    <row r="285" spans="1:2" hidden="1">
      <c r="A285" s="8" t="s">
        <v>193</v>
      </c>
      <c r="B285" s="8" t="s">
        <v>193</v>
      </c>
    </row>
    <row r="286" spans="1:2" hidden="1">
      <c r="A286" s="8" t="s">
        <v>203</v>
      </c>
      <c r="B286" s="8" t="s">
        <v>203</v>
      </c>
    </row>
    <row r="287" spans="1:2" hidden="1">
      <c r="A287" s="8" t="s">
        <v>204</v>
      </c>
      <c r="B287" s="8" t="s">
        <v>204</v>
      </c>
    </row>
    <row r="288" spans="1:2" hidden="1">
      <c r="A288" s="8" t="s">
        <v>35</v>
      </c>
      <c r="B288" s="8" t="s">
        <v>35</v>
      </c>
    </row>
    <row r="289" spans="1:2" hidden="1">
      <c r="A289" s="8" t="s">
        <v>191</v>
      </c>
      <c r="B289" s="8" t="s">
        <v>191</v>
      </c>
    </row>
    <row r="290" spans="1:2" hidden="1">
      <c r="A290" s="8" t="s">
        <v>22</v>
      </c>
      <c r="B290" s="8" t="s">
        <v>22</v>
      </c>
    </row>
    <row r="291" spans="1:2" hidden="1">
      <c r="A291" s="8" t="s">
        <v>192</v>
      </c>
      <c r="B291" s="8" t="s">
        <v>192</v>
      </c>
    </row>
    <row r="292" spans="1:2" hidden="1">
      <c r="A292" s="8" t="s">
        <v>152</v>
      </c>
      <c r="B292" s="8" t="s">
        <v>152</v>
      </c>
    </row>
    <row r="293" spans="1:2" hidden="1">
      <c r="A293" s="8" t="s">
        <v>202</v>
      </c>
      <c r="B293" s="8" t="s">
        <v>202</v>
      </c>
    </row>
    <row r="294" spans="1:2" hidden="1">
      <c r="A294" s="8" t="s">
        <v>193</v>
      </c>
      <c r="B294" s="8" t="s">
        <v>193</v>
      </c>
    </row>
    <row r="295" spans="1:2" hidden="1">
      <c r="A295" s="8" t="s">
        <v>203</v>
      </c>
      <c r="B295" s="8" t="s">
        <v>203</v>
      </c>
    </row>
    <row r="296" spans="1:2" hidden="1">
      <c r="A296" s="8" t="s">
        <v>204</v>
      </c>
      <c r="B296" s="8" t="s">
        <v>204</v>
      </c>
    </row>
    <row r="297" spans="1:2" hidden="1">
      <c r="A297" s="8" t="s">
        <v>35</v>
      </c>
      <c r="B297" s="8" t="s">
        <v>35</v>
      </c>
    </row>
    <row r="298" spans="1:2" hidden="1">
      <c r="A298" s="8" t="s">
        <v>191</v>
      </c>
      <c r="B298" s="8" t="s">
        <v>191</v>
      </c>
    </row>
    <row r="299" spans="1:2" hidden="1">
      <c r="A299" s="8" t="s">
        <v>22</v>
      </c>
      <c r="B299" s="8" t="s">
        <v>22</v>
      </c>
    </row>
    <row r="300" spans="1:2" hidden="1">
      <c r="A300" s="8" t="s">
        <v>192</v>
      </c>
      <c r="B300" s="8" t="s">
        <v>192</v>
      </c>
    </row>
    <row r="301" spans="1:2" hidden="1">
      <c r="A301" s="8" t="s">
        <v>152</v>
      </c>
      <c r="B301" s="8" t="s">
        <v>152</v>
      </c>
    </row>
    <row r="302" spans="1:2" hidden="1">
      <c r="A302" s="8" t="s">
        <v>202</v>
      </c>
      <c r="B302" s="8" t="s">
        <v>202</v>
      </c>
    </row>
    <row r="303" spans="1:2" hidden="1">
      <c r="A303" s="8" t="s">
        <v>193</v>
      </c>
      <c r="B303" s="8" t="s">
        <v>193</v>
      </c>
    </row>
    <row r="304" spans="1:2" hidden="1">
      <c r="A304" s="8" t="s">
        <v>203</v>
      </c>
      <c r="B304" s="8" t="s">
        <v>203</v>
      </c>
    </row>
    <row r="305" spans="1:3" hidden="1">
      <c r="A305" s="8" t="s">
        <v>204</v>
      </c>
      <c r="B305" s="8" t="s">
        <v>204</v>
      </c>
    </row>
    <row r="306" spans="1:3" hidden="1">
      <c r="A306" s="8" t="s">
        <v>37</v>
      </c>
      <c r="B306" s="8" t="s">
        <v>37</v>
      </c>
    </row>
    <row r="307" spans="1:3">
      <c r="A307" s="8" t="s">
        <v>324</v>
      </c>
      <c r="B307" s="8" t="s">
        <v>65</v>
      </c>
      <c r="C307" t="s">
        <v>25</v>
      </c>
    </row>
    <row r="308" spans="1:3">
      <c r="A308" s="8" t="s">
        <v>325</v>
      </c>
      <c r="B308" s="8" t="s">
        <v>65</v>
      </c>
      <c r="C308" t="s">
        <v>25</v>
      </c>
    </row>
    <row r="309" spans="1:3">
      <c r="A309" s="8" t="s">
        <v>326</v>
      </c>
      <c r="B309" s="8" t="s">
        <v>65</v>
      </c>
      <c r="C309" t="s">
        <v>25</v>
      </c>
    </row>
    <row r="310" spans="1:3">
      <c r="A310" s="8" t="s">
        <v>327</v>
      </c>
      <c r="B310" s="8" t="s">
        <v>65</v>
      </c>
      <c r="C310" t="s">
        <v>41</v>
      </c>
    </row>
    <row r="311" spans="1:3">
      <c r="A311" s="8" t="s">
        <v>222</v>
      </c>
      <c r="B311" s="8" t="s">
        <v>65</v>
      </c>
      <c r="C311" t="s">
        <v>41</v>
      </c>
    </row>
    <row r="312" spans="1:3">
      <c r="A312" s="8" t="s">
        <v>223</v>
      </c>
      <c r="B312" s="8" t="s">
        <v>65</v>
      </c>
      <c r="C312" t="s">
        <v>41</v>
      </c>
    </row>
    <row r="313" spans="1:3">
      <c r="A313" s="8" t="s">
        <v>328</v>
      </c>
      <c r="B313" s="8" t="s">
        <v>65</v>
      </c>
      <c r="C313" t="s">
        <v>41</v>
      </c>
    </row>
    <row r="314" spans="1:3">
      <c r="A314" s="8" t="s">
        <v>329</v>
      </c>
      <c r="B314" s="8" t="s">
        <v>65</v>
      </c>
      <c r="C314" t="s">
        <v>41</v>
      </c>
    </row>
    <row r="315" spans="1:3">
      <c r="A315" s="8" t="s">
        <v>330</v>
      </c>
      <c r="B315" s="8" t="s">
        <v>65</v>
      </c>
      <c r="C315" t="s">
        <v>41</v>
      </c>
    </row>
    <row r="316" spans="1:3">
      <c r="A316" s="8" t="s">
        <v>62</v>
      </c>
      <c r="B316" s="8" t="s">
        <v>65</v>
      </c>
      <c r="C316" t="s">
        <v>41</v>
      </c>
    </row>
    <row r="317" spans="1:3">
      <c r="A317" s="8" t="s">
        <v>331</v>
      </c>
      <c r="B317" s="8" t="s">
        <v>65</v>
      </c>
      <c r="C317" t="s">
        <v>41</v>
      </c>
    </row>
    <row r="318" spans="1:3" hidden="1">
      <c r="A318" s="8" t="s">
        <v>35</v>
      </c>
      <c r="B318" s="8" t="s">
        <v>35</v>
      </c>
    </row>
    <row r="319" spans="1:3" hidden="1">
      <c r="A319" s="8" t="s">
        <v>191</v>
      </c>
      <c r="B319" s="8" t="s">
        <v>191</v>
      </c>
    </row>
    <row r="320" spans="1:3" hidden="1">
      <c r="A320" s="8" t="s">
        <v>22</v>
      </c>
      <c r="B320" s="8" t="s">
        <v>22</v>
      </c>
    </row>
    <row r="321" spans="1:2" hidden="1">
      <c r="A321" s="8" t="s">
        <v>192</v>
      </c>
      <c r="B321" s="8" t="s">
        <v>192</v>
      </c>
    </row>
    <row r="322" spans="1:2" hidden="1">
      <c r="A322" s="8" t="s">
        <v>152</v>
      </c>
      <c r="B322" s="8" t="s">
        <v>152</v>
      </c>
    </row>
    <row r="323" spans="1:2" hidden="1">
      <c r="A323" s="8" t="s">
        <v>202</v>
      </c>
      <c r="B323" s="8" t="s">
        <v>202</v>
      </c>
    </row>
    <row r="324" spans="1:2" hidden="1">
      <c r="A324" s="8" t="s">
        <v>193</v>
      </c>
      <c r="B324" s="8" t="s">
        <v>193</v>
      </c>
    </row>
    <row r="325" spans="1:2" hidden="1">
      <c r="A325" s="8" t="s">
        <v>203</v>
      </c>
      <c r="B325" s="8" t="s">
        <v>203</v>
      </c>
    </row>
    <row r="326" spans="1:2" hidden="1">
      <c r="A326" s="8" t="s">
        <v>204</v>
      </c>
      <c r="B326" s="8" t="s">
        <v>204</v>
      </c>
    </row>
    <row r="327" spans="1:2" hidden="1">
      <c r="A327" s="8" t="s">
        <v>156</v>
      </c>
      <c r="B327" s="8" t="s">
        <v>156</v>
      </c>
    </row>
    <row r="328" spans="1:2" hidden="1">
      <c r="A328" s="8" t="s">
        <v>37</v>
      </c>
      <c r="B328" s="8" t="s">
        <v>37</v>
      </c>
    </row>
    <row r="329" spans="1:2" hidden="1">
      <c r="A329" s="8" t="s">
        <v>161</v>
      </c>
      <c r="B329" s="8" t="s">
        <v>161</v>
      </c>
    </row>
    <row r="330" spans="1:2" hidden="1">
      <c r="A330" s="8" t="s">
        <v>26</v>
      </c>
      <c r="B330" s="8" t="s">
        <v>26</v>
      </c>
    </row>
    <row r="331" spans="1:2" hidden="1">
      <c r="A331" s="8" t="s">
        <v>156</v>
      </c>
      <c r="B331" s="8" t="s">
        <v>156</v>
      </c>
    </row>
    <row r="332" spans="1:2" hidden="1">
      <c r="A332" s="8" t="s">
        <v>160</v>
      </c>
      <c r="B332" s="8" t="s">
        <v>160</v>
      </c>
    </row>
    <row r="333" spans="1:2" hidden="1">
      <c r="A333" s="8" t="s">
        <v>35</v>
      </c>
      <c r="B333" s="8" t="s">
        <v>35</v>
      </c>
    </row>
    <row r="334" spans="1:2" hidden="1">
      <c r="A334" s="8" t="s">
        <v>152</v>
      </c>
      <c r="B334" s="8" t="s">
        <v>152</v>
      </c>
    </row>
    <row r="335" spans="1:2" hidden="1">
      <c r="A335" s="8" t="s">
        <v>154</v>
      </c>
      <c r="B335" s="8" t="s">
        <v>154</v>
      </c>
    </row>
    <row r="336" spans="1:2" hidden="1">
      <c r="A336" s="8" t="s">
        <v>204</v>
      </c>
      <c r="B336" s="8" t="s">
        <v>204</v>
      </c>
    </row>
    <row r="337" spans="1:3">
      <c r="A337" s="8" t="s">
        <v>377</v>
      </c>
      <c r="B337" s="8" t="s">
        <v>65</v>
      </c>
      <c r="C337" t="s">
        <v>41</v>
      </c>
    </row>
    <row r="338" spans="1:3" hidden="1">
      <c r="A338" s="8" t="s">
        <v>203</v>
      </c>
      <c r="B338" s="8" t="s">
        <v>203</v>
      </c>
    </row>
    <row r="339" spans="1:3" hidden="1">
      <c r="A339" s="8" t="s">
        <v>202</v>
      </c>
      <c r="B339" s="8" t="s">
        <v>202</v>
      </c>
    </row>
    <row r="340" spans="1:3" hidden="1">
      <c r="A340" s="8" t="s">
        <v>193</v>
      </c>
      <c r="B340" s="8" t="s">
        <v>193</v>
      </c>
    </row>
    <row r="341" spans="1:3" hidden="1">
      <c r="A341" s="8" t="s">
        <v>26</v>
      </c>
      <c r="B341" s="8" t="s">
        <v>26</v>
      </c>
    </row>
    <row r="342" spans="1:3" hidden="1">
      <c r="A342" s="8" t="s">
        <v>161</v>
      </c>
      <c r="B342" s="8" t="s">
        <v>161</v>
      </c>
    </row>
    <row r="343" spans="1:3" hidden="1">
      <c r="A343" s="8" t="s">
        <v>298</v>
      </c>
      <c r="B343" s="8" t="s">
        <v>298</v>
      </c>
    </row>
    <row r="344" spans="1:3">
      <c r="A344" s="8" t="s">
        <v>386</v>
      </c>
      <c r="B344" s="8" t="s">
        <v>41</v>
      </c>
      <c r="C344" t="s">
        <v>41</v>
      </c>
    </row>
    <row r="345" spans="1:3" hidden="1">
      <c r="A345" s="8" t="s">
        <v>37</v>
      </c>
      <c r="B345" s="8" t="s">
        <v>37</v>
      </c>
    </row>
    <row r="346" spans="1:3" hidden="1">
      <c r="A346" s="8" t="s">
        <v>154</v>
      </c>
      <c r="B346" s="8" t="s">
        <v>154</v>
      </c>
    </row>
    <row r="347" spans="1:3" hidden="1">
      <c r="A347" s="8" t="s">
        <v>154</v>
      </c>
      <c r="B347" s="8" t="s">
        <v>154</v>
      </c>
    </row>
    <row r="348" spans="1:3" hidden="1">
      <c r="A348" s="8" t="s">
        <v>154</v>
      </c>
      <c r="B348" s="8" t="s">
        <v>154</v>
      </c>
    </row>
    <row r="349" spans="1:3" hidden="1">
      <c r="A349" s="8" t="s">
        <v>26</v>
      </c>
      <c r="B349" s="8" t="s">
        <v>26</v>
      </c>
    </row>
    <row r="350" spans="1:3" hidden="1">
      <c r="A350" s="8" t="s">
        <v>156</v>
      </c>
      <c r="B350" s="8" t="s">
        <v>156</v>
      </c>
    </row>
    <row r="351" spans="1:3" hidden="1">
      <c r="A351" s="8" t="s">
        <v>160</v>
      </c>
      <c r="B351" s="8" t="s">
        <v>160</v>
      </c>
    </row>
    <row r="352" spans="1:3" hidden="1">
      <c r="A352" s="8" t="s">
        <v>26</v>
      </c>
      <c r="B352" s="8" t="s">
        <v>26</v>
      </c>
    </row>
    <row r="353" spans="1:3" hidden="1">
      <c r="A353" s="8" t="s">
        <v>26</v>
      </c>
      <c r="B353" s="8" t="s">
        <v>26</v>
      </c>
    </row>
    <row r="354" spans="1:3" hidden="1">
      <c r="A354" s="8" t="s">
        <v>26</v>
      </c>
      <c r="B354" s="8" t="s">
        <v>26</v>
      </c>
    </row>
    <row r="355" spans="1:3" hidden="1">
      <c r="A355" s="8" t="s">
        <v>37</v>
      </c>
      <c r="B355" s="8" t="s">
        <v>37</v>
      </c>
    </row>
    <row r="356" spans="1:3" hidden="1">
      <c r="A356" s="8" t="s">
        <v>193</v>
      </c>
      <c r="B356" s="8" t="s">
        <v>193</v>
      </c>
    </row>
    <row r="357" spans="1:3" hidden="1">
      <c r="A357" s="8" t="s">
        <v>202</v>
      </c>
      <c r="B357" s="8" t="s">
        <v>202</v>
      </c>
    </row>
    <row r="358" spans="1:3" hidden="1">
      <c r="A358" s="8" t="s">
        <v>161</v>
      </c>
      <c r="B358" s="8" t="s">
        <v>161</v>
      </c>
    </row>
    <row r="359" spans="1:3" hidden="1">
      <c r="A359" s="8" t="s">
        <v>193</v>
      </c>
      <c r="B359" s="8" t="s">
        <v>193</v>
      </c>
    </row>
    <row r="360" spans="1:3" hidden="1">
      <c r="A360" s="8" t="s">
        <v>161</v>
      </c>
      <c r="B360" s="8" t="s">
        <v>161</v>
      </c>
    </row>
    <row r="361" spans="1:3" hidden="1">
      <c r="A361" s="8" t="s">
        <v>37</v>
      </c>
      <c r="B361" s="8" t="s">
        <v>37</v>
      </c>
    </row>
    <row r="362" spans="1:3" hidden="1">
      <c r="A362" s="8" t="s">
        <v>37</v>
      </c>
      <c r="B362" s="8" t="s">
        <v>37</v>
      </c>
    </row>
    <row r="363" spans="1:3" hidden="1">
      <c r="A363" s="8" t="s">
        <v>26</v>
      </c>
      <c r="B363" s="8" t="s">
        <v>26</v>
      </c>
    </row>
    <row r="364" spans="1:3">
      <c r="A364" s="8" t="s">
        <v>157</v>
      </c>
      <c r="B364" s="8" t="s">
        <v>65</v>
      </c>
      <c r="C364" t="s">
        <v>41</v>
      </c>
    </row>
    <row r="365" spans="1:3" hidden="1">
      <c r="A365" s="8" t="s">
        <v>157</v>
      </c>
      <c r="B365" s="8" t="s">
        <v>157</v>
      </c>
    </row>
    <row r="366" spans="1:3" hidden="1">
      <c r="A366" s="8" t="s">
        <v>160</v>
      </c>
      <c r="B366" s="8" t="s">
        <v>160</v>
      </c>
    </row>
    <row r="367" spans="1:3" hidden="1">
      <c r="A367" s="8" t="s">
        <v>37</v>
      </c>
      <c r="B367" s="8" t="s">
        <v>37</v>
      </c>
    </row>
    <row r="368" spans="1:3" hidden="1">
      <c r="A368" s="8" t="s">
        <v>156</v>
      </c>
      <c r="B368" s="8" t="s">
        <v>156</v>
      </c>
    </row>
    <row r="369" spans="1:3" hidden="1">
      <c r="A369" s="8" t="s">
        <v>37</v>
      </c>
      <c r="B369" s="8" t="s">
        <v>37</v>
      </c>
    </row>
    <row r="370" spans="1:3" hidden="1">
      <c r="A370" s="8" t="s">
        <v>26</v>
      </c>
      <c r="B370" s="8" t="s">
        <v>26</v>
      </c>
    </row>
    <row r="371" spans="1:3" hidden="1">
      <c r="A371" s="8" t="s">
        <v>26</v>
      </c>
      <c r="B371" s="8" t="s">
        <v>26</v>
      </c>
    </row>
    <row r="372" spans="1:3" hidden="1">
      <c r="A372" s="8" t="s">
        <v>156</v>
      </c>
      <c r="B372" s="8" t="s">
        <v>156</v>
      </c>
    </row>
    <row r="373" spans="1:3" hidden="1">
      <c r="A373" s="8" t="s">
        <v>26</v>
      </c>
      <c r="B373" s="8" t="s">
        <v>26</v>
      </c>
    </row>
    <row r="374" spans="1:3" hidden="1">
      <c r="A374" s="8" t="s">
        <v>156</v>
      </c>
      <c r="B374" s="8" t="s">
        <v>156</v>
      </c>
    </row>
    <row r="375" spans="1:3" hidden="1">
      <c r="A375" s="8" t="s">
        <v>157</v>
      </c>
      <c r="B375" s="8" t="s">
        <v>157</v>
      </c>
    </row>
    <row r="376" spans="1:3" hidden="1">
      <c r="A376" s="8" t="s">
        <v>157</v>
      </c>
      <c r="B376" s="8" t="s">
        <v>157</v>
      </c>
    </row>
    <row r="377" spans="1:3" hidden="1">
      <c r="A377" s="8" t="s">
        <v>157</v>
      </c>
      <c r="B377" s="8" t="s">
        <v>157</v>
      </c>
    </row>
    <row r="378" spans="1:3">
      <c r="A378" s="8" t="s">
        <v>163</v>
      </c>
      <c r="B378" s="8" t="s">
        <v>201</v>
      </c>
      <c r="C378" t="s">
        <v>25</v>
      </c>
    </row>
    <row r="379" spans="1:3" hidden="1">
      <c r="A379" t="s">
        <v>26</v>
      </c>
      <c r="B379" t="s">
        <v>26</v>
      </c>
    </row>
    <row r="380" spans="1:3" hidden="1">
      <c r="A380" t="s">
        <v>26</v>
      </c>
      <c r="B380" t="s">
        <v>26</v>
      </c>
    </row>
    <row r="381" spans="1:3" hidden="1">
      <c r="A381" t="s">
        <v>26</v>
      </c>
      <c r="B381" t="s">
        <v>26</v>
      </c>
    </row>
    <row r="382" spans="1:3" hidden="1">
      <c r="A382" t="s">
        <v>26</v>
      </c>
      <c r="B382" t="s">
        <v>26</v>
      </c>
    </row>
    <row r="383" spans="1:3" hidden="1">
      <c r="A383" t="s">
        <v>26</v>
      </c>
      <c r="B383" t="s">
        <v>26</v>
      </c>
    </row>
    <row r="384" spans="1:3" hidden="1">
      <c r="A384" s="8" t="s">
        <v>26</v>
      </c>
      <c r="B384" s="8" t="s">
        <v>26</v>
      </c>
    </row>
    <row r="385" spans="1:3" hidden="1">
      <c r="A385" s="8" t="s">
        <v>26</v>
      </c>
      <c r="B385" s="8" t="s">
        <v>26</v>
      </c>
    </row>
    <row r="386" spans="1:3" hidden="1">
      <c r="A386" s="8" t="s">
        <v>22</v>
      </c>
      <c r="B386" s="8" t="s">
        <v>22</v>
      </c>
    </row>
    <row r="387" spans="1:3" hidden="1">
      <c r="A387" s="8" t="s">
        <v>22</v>
      </c>
      <c r="B387" s="8" t="s">
        <v>22</v>
      </c>
    </row>
    <row r="388" spans="1:3" hidden="1">
      <c r="A388" s="8" t="s">
        <v>26</v>
      </c>
      <c r="B388" s="8" t="s">
        <v>26</v>
      </c>
    </row>
    <row r="389" spans="1:3" hidden="1">
      <c r="A389" s="8" t="s">
        <v>26</v>
      </c>
      <c r="B389" s="8" t="s">
        <v>26</v>
      </c>
    </row>
    <row r="390" spans="1:3" hidden="1">
      <c r="A390" s="8" t="s">
        <v>26</v>
      </c>
      <c r="B390" s="8" t="s">
        <v>26</v>
      </c>
    </row>
    <row r="391" spans="1:3" hidden="1">
      <c r="A391" s="8" t="s">
        <v>26</v>
      </c>
      <c r="B391" s="8" t="s">
        <v>26</v>
      </c>
    </row>
    <row r="392" spans="1:3">
      <c r="A392" s="8" t="s">
        <v>210</v>
      </c>
      <c r="B392" s="8" t="s">
        <v>201</v>
      </c>
      <c r="C392" t="s">
        <v>25</v>
      </c>
    </row>
    <row r="393" spans="1:3" hidden="1">
      <c r="A393" t="s">
        <v>35</v>
      </c>
      <c r="B393" t="s">
        <v>35</v>
      </c>
    </row>
    <row r="394" spans="1:3" hidden="1">
      <c r="A394" t="s">
        <v>26</v>
      </c>
      <c r="B394" t="s">
        <v>26</v>
      </c>
    </row>
    <row r="395" spans="1:3" hidden="1">
      <c r="A395" t="s">
        <v>37</v>
      </c>
      <c r="B395" t="s">
        <v>37</v>
      </c>
    </row>
    <row r="396" spans="1:3" hidden="1">
      <c r="A396" t="s">
        <v>26</v>
      </c>
      <c r="B396" t="s">
        <v>26</v>
      </c>
    </row>
    <row r="397" spans="1:3" hidden="1">
      <c r="A397" t="s">
        <v>37</v>
      </c>
      <c r="B397" t="s">
        <v>37</v>
      </c>
    </row>
    <row r="398" spans="1:3" hidden="1">
      <c r="A398" t="s">
        <v>26</v>
      </c>
      <c r="B398" t="s">
        <v>26</v>
      </c>
    </row>
    <row r="399" spans="1:3" hidden="1">
      <c r="A399" t="s">
        <v>26</v>
      </c>
      <c r="B399" t="s">
        <v>26</v>
      </c>
    </row>
    <row r="400" spans="1:3" hidden="1">
      <c r="A400" t="s">
        <v>26</v>
      </c>
      <c r="B400" t="s">
        <v>26</v>
      </c>
    </row>
    <row r="401" spans="1:2" hidden="1">
      <c r="A401" t="s">
        <v>26</v>
      </c>
      <c r="B401" t="s">
        <v>26</v>
      </c>
    </row>
    <row r="402" spans="1:2" hidden="1">
      <c r="A402" t="s">
        <v>26</v>
      </c>
      <c r="B402" t="s">
        <v>26</v>
      </c>
    </row>
    <row r="403" spans="1:2" hidden="1">
      <c r="A403" t="s">
        <v>26</v>
      </c>
      <c r="B403" t="s">
        <v>26</v>
      </c>
    </row>
    <row r="404" spans="1:2" hidden="1">
      <c r="A404" t="s">
        <v>22</v>
      </c>
      <c r="B404" t="s">
        <v>22</v>
      </c>
    </row>
    <row r="405" spans="1:2" hidden="1">
      <c r="A405" t="s">
        <v>26</v>
      </c>
      <c r="B405" t="s">
        <v>26</v>
      </c>
    </row>
    <row r="406" spans="1:2" hidden="1">
      <c r="A406" t="s">
        <v>37</v>
      </c>
      <c r="B406" t="s">
        <v>37</v>
      </c>
    </row>
    <row r="407" spans="1:2" hidden="1">
      <c r="A407" t="s">
        <v>26</v>
      </c>
      <c r="B407" t="s">
        <v>26</v>
      </c>
    </row>
    <row r="408" spans="1:2" hidden="1">
      <c r="A408" t="s">
        <v>37</v>
      </c>
      <c r="B408" t="s">
        <v>37</v>
      </c>
    </row>
    <row r="409" spans="1:2" hidden="1">
      <c r="A409" t="s">
        <v>26</v>
      </c>
      <c r="B409" t="s">
        <v>26</v>
      </c>
    </row>
    <row r="410" spans="1:2" hidden="1">
      <c r="A410" s="8" t="s">
        <v>26</v>
      </c>
      <c r="B410" s="8" t="s">
        <v>26</v>
      </c>
    </row>
    <row r="411" spans="1:2" hidden="1">
      <c r="A411" s="8" t="s">
        <v>22</v>
      </c>
      <c r="B411" s="8" t="s">
        <v>22</v>
      </c>
    </row>
    <row r="412" spans="1:2" hidden="1">
      <c r="A412" s="8" t="s">
        <v>26</v>
      </c>
      <c r="B412" s="8" t="s">
        <v>26</v>
      </c>
    </row>
    <row r="413" spans="1:2" hidden="1">
      <c r="A413" s="8" t="s">
        <v>157</v>
      </c>
      <c r="B413" s="8" t="s">
        <v>157</v>
      </c>
    </row>
    <row r="414" spans="1:2" hidden="1">
      <c r="A414" t="s">
        <v>26</v>
      </c>
      <c r="B414" t="s">
        <v>26</v>
      </c>
    </row>
    <row r="415" spans="1:2" hidden="1">
      <c r="A415" t="s">
        <v>26</v>
      </c>
      <c r="B415" t="s">
        <v>26</v>
      </c>
    </row>
    <row r="416" spans="1:2" hidden="1">
      <c r="A416" t="s">
        <v>26</v>
      </c>
      <c r="B416" t="s">
        <v>26</v>
      </c>
    </row>
    <row r="417" spans="1:3" hidden="1">
      <c r="A417" t="s">
        <v>26</v>
      </c>
      <c r="B417" t="s">
        <v>26</v>
      </c>
    </row>
    <row r="418" spans="1:3" hidden="1">
      <c r="A418" t="s">
        <v>26</v>
      </c>
      <c r="B418" t="s">
        <v>26</v>
      </c>
    </row>
    <row r="419" spans="1:3" hidden="1">
      <c r="A419" t="s">
        <v>26</v>
      </c>
      <c r="B419" t="s">
        <v>26</v>
      </c>
    </row>
    <row r="420" spans="1:3" hidden="1">
      <c r="A420" s="8" t="s">
        <v>160</v>
      </c>
      <c r="B420" s="8" t="s">
        <v>160</v>
      </c>
    </row>
    <row r="421" spans="1:3" hidden="1">
      <c r="A421" s="8" t="s">
        <v>160</v>
      </c>
      <c r="B421" s="8" t="s">
        <v>160</v>
      </c>
    </row>
    <row r="422" spans="1:3" hidden="1">
      <c r="A422" s="8" t="s">
        <v>160</v>
      </c>
      <c r="B422" s="8" t="s">
        <v>160</v>
      </c>
    </row>
    <row r="423" spans="1:3" hidden="1">
      <c r="A423" s="8" t="s">
        <v>37</v>
      </c>
      <c r="B423" s="8" t="s">
        <v>37</v>
      </c>
    </row>
    <row r="424" spans="1:3" hidden="1">
      <c r="A424" s="8" t="s">
        <v>157</v>
      </c>
      <c r="B424" s="8" t="s">
        <v>157</v>
      </c>
    </row>
    <row r="425" spans="1:3">
      <c r="A425" s="8" t="s">
        <v>243</v>
      </c>
      <c r="B425" s="8" t="s">
        <v>201</v>
      </c>
      <c r="C425" t="s">
        <v>41</v>
      </c>
    </row>
    <row r="426" spans="1:3" hidden="1">
      <c r="A426" s="8" t="s">
        <v>37</v>
      </c>
      <c r="B426" s="8" t="s">
        <v>37</v>
      </c>
    </row>
    <row r="427" spans="1:3" hidden="1">
      <c r="A427" s="8" t="s">
        <v>243</v>
      </c>
      <c r="B427" s="8" t="s">
        <v>243</v>
      </c>
    </row>
    <row r="428" spans="1:3" hidden="1">
      <c r="A428" s="8" t="s">
        <v>37</v>
      </c>
      <c r="B428" s="8" t="s">
        <v>37</v>
      </c>
    </row>
    <row r="429" spans="1:3">
      <c r="A429" t="s">
        <v>438</v>
      </c>
      <c r="B429" s="8" t="s">
        <v>201</v>
      </c>
      <c r="C429" t="s">
        <v>25</v>
      </c>
    </row>
    <row r="430" spans="1:3">
      <c r="A430" s="8" t="s">
        <v>245</v>
      </c>
      <c r="B430" s="8" t="s">
        <v>201</v>
      </c>
      <c r="C430" t="s">
        <v>25</v>
      </c>
    </row>
    <row r="431" spans="1:3">
      <c r="A431" s="8" t="s">
        <v>244</v>
      </c>
      <c r="B431" s="8" t="s">
        <v>201</v>
      </c>
      <c r="C431" t="s">
        <v>41</v>
      </c>
    </row>
    <row r="432" spans="1:3">
      <c r="A432" s="8" t="s">
        <v>1173</v>
      </c>
      <c r="B432" s="8" t="s">
        <v>201</v>
      </c>
      <c r="C432" t="s">
        <v>41</v>
      </c>
    </row>
    <row r="433" spans="1:3" hidden="1">
      <c r="A433" s="8" t="s">
        <v>37</v>
      </c>
      <c r="B433" s="8" t="s">
        <v>37</v>
      </c>
    </row>
    <row r="434" spans="1:3" hidden="1">
      <c r="A434" s="8" t="s">
        <v>26</v>
      </c>
      <c r="B434" s="8" t="s">
        <v>26</v>
      </c>
    </row>
    <row r="435" spans="1:3">
      <c r="A435" s="8" t="s">
        <v>211</v>
      </c>
      <c r="B435" s="8" t="s">
        <v>201</v>
      </c>
      <c r="C435" t="s">
        <v>25</v>
      </c>
    </row>
    <row r="436" spans="1:3" hidden="1">
      <c r="A436" s="8" t="s">
        <v>211</v>
      </c>
      <c r="B436" s="8" t="s">
        <v>211</v>
      </c>
    </row>
    <row r="437" spans="1:3" hidden="1">
      <c r="A437" s="8" t="s">
        <v>211</v>
      </c>
      <c r="B437" s="8" t="s">
        <v>211</v>
      </c>
    </row>
    <row r="438" spans="1:3" hidden="1">
      <c r="A438" s="8" t="s">
        <v>35</v>
      </c>
      <c r="B438" s="8" t="s">
        <v>35</v>
      </c>
    </row>
    <row r="439" spans="1:3" hidden="1">
      <c r="A439" s="8" t="s">
        <v>37</v>
      </c>
      <c r="B439" s="8" t="s">
        <v>37</v>
      </c>
    </row>
    <row r="440" spans="1:3" hidden="1">
      <c r="A440" s="8" t="s">
        <v>26</v>
      </c>
      <c r="B440" s="8" t="s">
        <v>26</v>
      </c>
    </row>
    <row r="441" spans="1:3" hidden="1">
      <c r="A441" s="8" t="s">
        <v>152</v>
      </c>
      <c r="B441" s="8" t="s">
        <v>152</v>
      </c>
    </row>
    <row r="442" spans="1:3" hidden="1">
      <c r="A442" s="8" t="s">
        <v>22</v>
      </c>
      <c r="B442" s="8" t="s">
        <v>22</v>
      </c>
    </row>
    <row r="443" spans="1:3" hidden="1">
      <c r="A443" s="8" t="s">
        <v>191</v>
      </c>
      <c r="B443" s="8" t="s">
        <v>191</v>
      </c>
    </row>
    <row r="444" spans="1:3" hidden="1">
      <c r="A444" s="8" t="s">
        <v>192</v>
      </c>
      <c r="B444" s="8" t="s">
        <v>192</v>
      </c>
    </row>
    <row r="445" spans="1:3">
      <c r="A445" s="8" t="s">
        <v>60</v>
      </c>
      <c r="B445" s="8" t="s">
        <v>65</v>
      </c>
      <c r="C445" t="s">
        <v>25</v>
      </c>
    </row>
    <row r="446" spans="1:3" hidden="1">
      <c r="A446" s="8" t="s">
        <v>35</v>
      </c>
      <c r="B446" s="8" t="s">
        <v>35</v>
      </c>
    </row>
    <row r="447" spans="1:3" hidden="1">
      <c r="A447" s="8" t="s">
        <v>152</v>
      </c>
      <c r="B447" s="8" t="s">
        <v>152</v>
      </c>
    </row>
    <row r="448" spans="1:3" hidden="1">
      <c r="A448" s="8" t="s">
        <v>22</v>
      </c>
      <c r="B448" s="8" t="s">
        <v>22</v>
      </c>
    </row>
    <row r="449" spans="1:3" hidden="1">
      <c r="A449" s="8" t="s">
        <v>191</v>
      </c>
      <c r="B449" s="8" t="s">
        <v>191</v>
      </c>
    </row>
    <row r="450" spans="1:3" hidden="1">
      <c r="A450" s="8" t="s">
        <v>192</v>
      </c>
      <c r="B450" s="8" t="s">
        <v>192</v>
      </c>
    </row>
    <row r="451" spans="1:3" hidden="1">
      <c r="A451" s="8" t="s">
        <v>60</v>
      </c>
      <c r="B451" s="8" t="s">
        <v>60</v>
      </c>
    </row>
    <row r="452" spans="1:3">
      <c r="A452" s="8" t="s">
        <v>246</v>
      </c>
      <c r="B452" s="8" t="s">
        <v>201</v>
      </c>
      <c r="C452" t="s">
        <v>25</v>
      </c>
    </row>
    <row r="453" spans="1:3" hidden="1">
      <c r="A453" s="8" t="s">
        <v>26</v>
      </c>
      <c r="B453" s="8" t="s">
        <v>26</v>
      </c>
    </row>
    <row r="454" spans="1:3" hidden="1">
      <c r="A454" s="8" t="s">
        <v>26</v>
      </c>
      <c r="B454" s="8" t="s">
        <v>26</v>
      </c>
    </row>
    <row r="455" spans="1:3" hidden="1">
      <c r="A455" s="8" t="s">
        <v>26</v>
      </c>
      <c r="B455" s="8" t="s">
        <v>26</v>
      </c>
    </row>
    <row r="456" spans="1:3" hidden="1">
      <c r="A456" s="8" t="s">
        <v>37</v>
      </c>
      <c r="B456" s="8" t="s">
        <v>37</v>
      </c>
    </row>
    <row r="457" spans="1:3" hidden="1">
      <c r="A457" s="8" t="s">
        <v>156</v>
      </c>
      <c r="B457" s="8" t="s">
        <v>156</v>
      </c>
    </row>
    <row r="458" spans="1:3" hidden="1">
      <c r="A458" s="8" t="s">
        <v>37</v>
      </c>
      <c r="B458" s="8" t="s">
        <v>37</v>
      </c>
    </row>
    <row r="459" spans="1:3" hidden="1">
      <c r="A459" s="8" t="s">
        <v>26</v>
      </c>
      <c r="B459" s="8" t="s">
        <v>26</v>
      </c>
    </row>
    <row r="460" spans="1:3" hidden="1">
      <c r="A460" s="8" t="s">
        <v>26</v>
      </c>
      <c r="B460" s="8" t="s">
        <v>26</v>
      </c>
    </row>
    <row r="461" spans="1:3" hidden="1">
      <c r="A461" s="8" t="s">
        <v>26</v>
      </c>
      <c r="B461" s="8" t="s">
        <v>26</v>
      </c>
    </row>
    <row r="462" spans="1:3" hidden="1">
      <c r="A462" s="8" t="s">
        <v>35</v>
      </c>
      <c r="B462" s="8" t="s">
        <v>35</v>
      </c>
    </row>
    <row r="463" spans="1:3" hidden="1">
      <c r="A463" s="8" t="s">
        <v>152</v>
      </c>
      <c r="B463" s="8" t="s">
        <v>152</v>
      </c>
    </row>
    <row r="464" spans="1:3" hidden="1">
      <c r="A464" s="8" t="s">
        <v>22</v>
      </c>
      <c r="B464" s="8" t="s">
        <v>22</v>
      </c>
    </row>
    <row r="465" spans="1:3" hidden="1">
      <c r="A465" s="8" t="s">
        <v>191</v>
      </c>
      <c r="B465" s="8" t="s">
        <v>191</v>
      </c>
    </row>
    <row r="466" spans="1:3" hidden="1">
      <c r="A466" s="8" t="s">
        <v>192</v>
      </c>
      <c r="B466" s="8" t="s">
        <v>192</v>
      </c>
    </row>
    <row r="467" spans="1:3" hidden="1">
      <c r="A467" s="8" t="s">
        <v>60</v>
      </c>
      <c r="B467" s="8" t="s">
        <v>60</v>
      </c>
    </row>
    <row r="468" spans="1:3" hidden="1">
      <c r="A468" s="8" t="s">
        <v>156</v>
      </c>
      <c r="B468" s="8" t="s">
        <v>156</v>
      </c>
    </row>
    <row r="469" spans="1:3" hidden="1">
      <c r="A469" t="s">
        <v>62</v>
      </c>
      <c r="B469" t="s">
        <v>62</v>
      </c>
    </row>
    <row r="470" spans="1:3" hidden="1">
      <c r="A470" t="s">
        <v>26</v>
      </c>
      <c r="B470" t="s">
        <v>26</v>
      </c>
    </row>
    <row r="471" spans="1:3" hidden="1">
      <c r="A471" s="8" t="s">
        <v>26</v>
      </c>
      <c r="B471" s="8" t="s">
        <v>26</v>
      </c>
    </row>
    <row r="472" spans="1:3" hidden="1">
      <c r="A472" s="8" t="s">
        <v>26</v>
      </c>
      <c r="B472" s="8" t="s">
        <v>26</v>
      </c>
    </row>
    <row r="473" spans="1:3" hidden="1">
      <c r="A473" s="8" t="s">
        <v>22</v>
      </c>
      <c r="B473" s="8" t="s">
        <v>22</v>
      </c>
    </row>
    <row r="474" spans="1:3" hidden="1">
      <c r="A474" s="8" t="s">
        <v>35</v>
      </c>
      <c r="B474" s="8" t="s">
        <v>35</v>
      </c>
    </row>
    <row r="475" spans="1:3" hidden="1">
      <c r="A475" s="8" t="s">
        <v>152</v>
      </c>
      <c r="B475" s="8" t="s">
        <v>152</v>
      </c>
    </row>
    <row r="476" spans="1:3" hidden="1">
      <c r="A476" s="8" t="s">
        <v>22</v>
      </c>
      <c r="B476" s="8" t="s">
        <v>22</v>
      </c>
    </row>
    <row r="477" spans="1:3" hidden="1">
      <c r="A477" s="8" t="s">
        <v>191</v>
      </c>
      <c r="B477" s="8" t="s">
        <v>191</v>
      </c>
    </row>
    <row r="478" spans="1:3" hidden="1">
      <c r="A478" s="8" t="s">
        <v>192</v>
      </c>
      <c r="B478" s="8" t="s">
        <v>192</v>
      </c>
    </row>
    <row r="479" spans="1:3" hidden="1">
      <c r="A479" s="8" t="s">
        <v>60</v>
      </c>
      <c r="B479" s="8" t="s">
        <v>60</v>
      </c>
    </row>
    <row r="480" spans="1:3">
      <c r="A480" s="8" t="s">
        <v>229</v>
      </c>
      <c r="B480" s="8" t="s">
        <v>65</v>
      </c>
      <c r="C480" t="s">
        <v>25</v>
      </c>
    </row>
    <row r="481" spans="1:2" hidden="1">
      <c r="A481" s="8" t="s">
        <v>35</v>
      </c>
      <c r="B481" s="8" t="s">
        <v>35</v>
      </c>
    </row>
    <row r="482" spans="1:2" hidden="1">
      <c r="A482" s="8" t="s">
        <v>152</v>
      </c>
      <c r="B482" s="8" t="s">
        <v>152</v>
      </c>
    </row>
    <row r="483" spans="1:2" hidden="1">
      <c r="A483" s="8" t="s">
        <v>22</v>
      </c>
      <c r="B483" s="8" t="s">
        <v>22</v>
      </c>
    </row>
    <row r="484" spans="1:2" hidden="1">
      <c r="A484" s="8" t="s">
        <v>191</v>
      </c>
      <c r="B484" s="8" t="s">
        <v>191</v>
      </c>
    </row>
    <row r="485" spans="1:2" hidden="1">
      <c r="A485" s="8" t="s">
        <v>192</v>
      </c>
      <c r="B485" s="8" t="s">
        <v>192</v>
      </c>
    </row>
    <row r="486" spans="1:2" hidden="1">
      <c r="A486" s="8" t="s">
        <v>60</v>
      </c>
      <c r="B486" s="8" t="s">
        <v>60</v>
      </c>
    </row>
    <row r="487" spans="1:2" hidden="1">
      <c r="A487" s="8" t="s">
        <v>35</v>
      </c>
      <c r="B487" s="8" t="s">
        <v>35</v>
      </c>
    </row>
    <row r="488" spans="1:2" hidden="1">
      <c r="A488" s="8" t="s">
        <v>152</v>
      </c>
      <c r="B488" s="8" t="s">
        <v>152</v>
      </c>
    </row>
    <row r="489" spans="1:2" hidden="1">
      <c r="A489" s="8" t="s">
        <v>22</v>
      </c>
      <c r="B489" s="8" t="s">
        <v>22</v>
      </c>
    </row>
    <row r="490" spans="1:2" hidden="1">
      <c r="A490" s="8" t="s">
        <v>191</v>
      </c>
      <c r="B490" s="8" t="s">
        <v>191</v>
      </c>
    </row>
    <row r="491" spans="1:2" hidden="1">
      <c r="A491" s="8" t="s">
        <v>192</v>
      </c>
      <c r="B491" s="8" t="s">
        <v>192</v>
      </c>
    </row>
    <row r="492" spans="1:2" hidden="1">
      <c r="A492" s="8" t="s">
        <v>60</v>
      </c>
      <c r="B492" s="8" t="s">
        <v>60</v>
      </c>
    </row>
    <row r="493" spans="1:2" hidden="1">
      <c r="A493" s="8" t="s">
        <v>35</v>
      </c>
      <c r="B493" s="8" t="s">
        <v>35</v>
      </c>
    </row>
    <row r="494" spans="1:2" hidden="1">
      <c r="A494" s="8" t="s">
        <v>152</v>
      </c>
      <c r="B494" s="8" t="s">
        <v>152</v>
      </c>
    </row>
    <row r="495" spans="1:2" hidden="1">
      <c r="A495" s="8" t="s">
        <v>22</v>
      </c>
      <c r="B495" s="8" t="s">
        <v>22</v>
      </c>
    </row>
    <row r="496" spans="1:2" hidden="1">
      <c r="A496" s="8" t="s">
        <v>191</v>
      </c>
      <c r="B496" s="8" t="s">
        <v>191</v>
      </c>
    </row>
    <row r="497" spans="1:3" hidden="1">
      <c r="A497" s="8" t="s">
        <v>192</v>
      </c>
      <c r="B497" s="8" t="s">
        <v>192</v>
      </c>
    </row>
    <row r="498" spans="1:3" hidden="1">
      <c r="A498" s="8" t="s">
        <v>60</v>
      </c>
      <c r="B498" s="8" t="s">
        <v>60</v>
      </c>
    </row>
    <row r="499" spans="1:3" hidden="1">
      <c r="A499" s="8" t="s">
        <v>26</v>
      </c>
      <c r="B499" s="8" t="s">
        <v>26</v>
      </c>
    </row>
    <row r="500" spans="1:3" hidden="1">
      <c r="A500" s="8" t="s">
        <v>152</v>
      </c>
      <c r="B500" s="8" t="s">
        <v>152</v>
      </c>
    </row>
    <row r="501" spans="1:3" hidden="1">
      <c r="A501" s="8" t="s">
        <v>35</v>
      </c>
      <c r="B501" s="8" t="s">
        <v>35</v>
      </c>
    </row>
    <row r="502" spans="1:3" hidden="1">
      <c r="A502" s="8" t="s">
        <v>152</v>
      </c>
      <c r="B502" s="8" t="s">
        <v>152</v>
      </c>
    </row>
    <row r="503" spans="1:3" hidden="1">
      <c r="A503" s="8" t="s">
        <v>22</v>
      </c>
      <c r="B503" s="8" t="s">
        <v>22</v>
      </c>
    </row>
    <row r="504" spans="1:3" hidden="1">
      <c r="A504" s="8" t="s">
        <v>191</v>
      </c>
      <c r="B504" s="8" t="s">
        <v>191</v>
      </c>
    </row>
    <row r="505" spans="1:3" hidden="1">
      <c r="A505" s="8" t="s">
        <v>192</v>
      </c>
      <c r="B505" s="8" t="s">
        <v>192</v>
      </c>
    </row>
    <row r="506" spans="1:3" hidden="1">
      <c r="A506" s="8" t="s">
        <v>60</v>
      </c>
      <c r="B506" s="8" t="s">
        <v>60</v>
      </c>
    </row>
    <row r="507" spans="1:3" hidden="1">
      <c r="A507" s="8" t="s">
        <v>37</v>
      </c>
      <c r="B507" s="8" t="s">
        <v>37</v>
      </c>
    </row>
    <row r="508" spans="1:3" hidden="1">
      <c r="A508" s="8" t="s">
        <v>202</v>
      </c>
      <c r="B508" s="8" t="s">
        <v>202</v>
      </c>
    </row>
    <row r="509" spans="1:3" hidden="1">
      <c r="A509" s="8" t="s">
        <v>193</v>
      </c>
      <c r="B509" s="8" t="s">
        <v>193</v>
      </c>
    </row>
    <row r="510" spans="1:3" hidden="1">
      <c r="A510" s="8" t="s">
        <v>161</v>
      </c>
      <c r="B510" s="8" t="s">
        <v>161</v>
      </c>
    </row>
    <row r="511" spans="1:3" hidden="1">
      <c r="A511" s="8" t="s">
        <v>203</v>
      </c>
      <c r="B511" s="8" t="s">
        <v>203</v>
      </c>
    </row>
    <row r="512" spans="1:3">
      <c r="A512" s="8" t="s">
        <v>249</v>
      </c>
      <c r="B512" s="8" t="s">
        <v>65</v>
      </c>
      <c r="C512" t="s">
        <v>41</v>
      </c>
    </row>
    <row r="513" spans="1:2" hidden="1">
      <c r="A513" s="8" t="s">
        <v>35</v>
      </c>
      <c r="B513" s="8" t="s">
        <v>35</v>
      </c>
    </row>
    <row r="514" spans="1:2" hidden="1">
      <c r="A514" s="8" t="s">
        <v>152</v>
      </c>
      <c r="B514" s="8" t="s">
        <v>152</v>
      </c>
    </row>
    <row r="515" spans="1:2" hidden="1">
      <c r="A515" s="8" t="s">
        <v>22</v>
      </c>
      <c r="B515" s="8" t="s">
        <v>22</v>
      </c>
    </row>
    <row r="516" spans="1:2" hidden="1">
      <c r="A516" s="8" t="s">
        <v>191</v>
      </c>
      <c r="B516" s="8" t="s">
        <v>191</v>
      </c>
    </row>
    <row r="517" spans="1:2" hidden="1">
      <c r="A517" s="8" t="s">
        <v>192</v>
      </c>
      <c r="B517" s="8" t="s">
        <v>192</v>
      </c>
    </row>
    <row r="518" spans="1:2" hidden="1">
      <c r="A518" s="8" t="s">
        <v>60</v>
      </c>
      <c r="B518" s="8" t="s">
        <v>60</v>
      </c>
    </row>
    <row r="519" spans="1:2" hidden="1">
      <c r="A519" s="8" t="s">
        <v>37</v>
      </c>
      <c r="B519" s="8" t="s">
        <v>37</v>
      </c>
    </row>
    <row r="520" spans="1:2" hidden="1">
      <c r="A520" s="8" t="s">
        <v>202</v>
      </c>
      <c r="B520" s="8" t="s">
        <v>202</v>
      </c>
    </row>
    <row r="521" spans="1:2" hidden="1">
      <c r="A521" s="8" t="s">
        <v>193</v>
      </c>
      <c r="B521" s="8" t="s">
        <v>193</v>
      </c>
    </row>
    <row r="522" spans="1:2" hidden="1">
      <c r="A522" s="8" t="s">
        <v>161</v>
      </c>
      <c r="B522" s="8" t="s">
        <v>161</v>
      </c>
    </row>
    <row r="523" spans="1:2" hidden="1">
      <c r="A523" s="8" t="s">
        <v>203</v>
      </c>
      <c r="B523" s="8" t="s">
        <v>203</v>
      </c>
    </row>
    <row r="524" spans="1:2" hidden="1">
      <c r="A524" s="8" t="s">
        <v>249</v>
      </c>
      <c r="B524" s="8" t="s">
        <v>249</v>
      </c>
    </row>
    <row r="525" spans="1:2" hidden="1">
      <c r="A525" s="8" t="s">
        <v>35</v>
      </c>
      <c r="B525" s="8" t="s">
        <v>35</v>
      </c>
    </row>
    <row r="526" spans="1:2" hidden="1">
      <c r="A526" s="8" t="s">
        <v>193</v>
      </c>
      <c r="B526" s="8" t="s">
        <v>193</v>
      </c>
    </row>
    <row r="527" spans="1:2" hidden="1">
      <c r="A527" s="8" t="s">
        <v>35</v>
      </c>
      <c r="B527" s="8" t="s">
        <v>35</v>
      </c>
    </row>
    <row r="528" spans="1:2" hidden="1">
      <c r="A528" s="8" t="s">
        <v>152</v>
      </c>
      <c r="B528" s="8" t="s">
        <v>152</v>
      </c>
    </row>
    <row r="529" spans="1:3" hidden="1">
      <c r="A529" s="8" t="s">
        <v>22</v>
      </c>
      <c r="B529" s="8" t="s">
        <v>22</v>
      </c>
    </row>
    <row r="530" spans="1:3" hidden="1">
      <c r="A530" s="8" t="s">
        <v>191</v>
      </c>
      <c r="B530" s="8" t="s">
        <v>191</v>
      </c>
    </row>
    <row r="531" spans="1:3" hidden="1">
      <c r="A531" s="8" t="s">
        <v>192</v>
      </c>
      <c r="B531" s="8" t="s">
        <v>192</v>
      </c>
    </row>
    <row r="532" spans="1:3" hidden="1">
      <c r="A532" s="8" t="s">
        <v>60</v>
      </c>
      <c r="B532" s="8" t="s">
        <v>60</v>
      </c>
    </row>
    <row r="533" spans="1:3">
      <c r="A533" s="8" t="s">
        <v>484</v>
      </c>
      <c r="B533" s="8" t="s">
        <v>65</v>
      </c>
      <c r="C533" t="s">
        <v>25</v>
      </c>
    </row>
    <row r="534" spans="1:3">
      <c r="A534" s="8" t="s">
        <v>485</v>
      </c>
      <c r="B534" s="8" t="s">
        <v>65</v>
      </c>
      <c r="C534" t="s">
        <v>25</v>
      </c>
    </row>
    <row r="535" spans="1:3" hidden="1">
      <c r="A535" s="8" t="s">
        <v>37</v>
      </c>
      <c r="B535" s="8" t="s">
        <v>37</v>
      </c>
    </row>
    <row r="536" spans="1:3" hidden="1">
      <c r="A536" s="8" t="s">
        <v>202</v>
      </c>
      <c r="B536" s="8" t="s">
        <v>202</v>
      </c>
    </row>
    <row r="537" spans="1:3" hidden="1">
      <c r="A537" s="8" t="s">
        <v>193</v>
      </c>
      <c r="B537" s="8" t="s">
        <v>193</v>
      </c>
    </row>
    <row r="538" spans="1:3" hidden="1">
      <c r="A538" s="8" t="s">
        <v>161</v>
      </c>
      <c r="B538" s="8" t="s">
        <v>161</v>
      </c>
    </row>
    <row r="539" spans="1:3" hidden="1">
      <c r="A539" s="8" t="s">
        <v>203</v>
      </c>
      <c r="B539" s="8" t="s">
        <v>203</v>
      </c>
    </row>
    <row r="540" spans="1:3" hidden="1">
      <c r="A540" s="8" t="s">
        <v>249</v>
      </c>
      <c r="B540" s="8" t="s">
        <v>249</v>
      </c>
    </row>
    <row r="541" spans="1:3" hidden="1">
      <c r="A541" s="8" t="s">
        <v>324</v>
      </c>
      <c r="B541" s="8" t="s">
        <v>324</v>
      </c>
    </row>
    <row r="542" spans="1:3" hidden="1">
      <c r="A542" s="8" t="s">
        <v>156</v>
      </c>
      <c r="B542" s="8" t="s">
        <v>156</v>
      </c>
    </row>
    <row r="543" spans="1:3" hidden="1">
      <c r="A543" s="8" t="s">
        <v>151</v>
      </c>
      <c r="B543" s="8" t="s">
        <v>151</v>
      </c>
    </row>
    <row r="544" spans="1:3">
      <c r="A544" s="8" t="s">
        <v>482</v>
      </c>
      <c r="B544" s="8" t="s">
        <v>65</v>
      </c>
      <c r="C544" t="s">
        <v>25</v>
      </c>
    </row>
    <row r="545" spans="1:2" hidden="1">
      <c r="A545" s="8" t="s">
        <v>196</v>
      </c>
      <c r="B545" s="8" t="s">
        <v>196</v>
      </c>
    </row>
    <row r="546" spans="1:2" hidden="1">
      <c r="A546" s="8" t="s">
        <v>26</v>
      </c>
      <c r="B546" s="8" t="s">
        <v>26</v>
      </c>
    </row>
    <row r="547" spans="1:2" hidden="1">
      <c r="A547" s="8" t="s">
        <v>386</v>
      </c>
      <c r="B547" s="8" t="s">
        <v>386</v>
      </c>
    </row>
    <row r="548" spans="1:2" hidden="1">
      <c r="A548" s="8" t="s">
        <v>35</v>
      </c>
      <c r="B548" s="8" t="s">
        <v>35</v>
      </c>
    </row>
    <row r="549" spans="1:2" hidden="1">
      <c r="A549" s="8" t="s">
        <v>152</v>
      </c>
      <c r="B549" s="8" t="s">
        <v>152</v>
      </c>
    </row>
    <row r="550" spans="1:2" hidden="1">
      <c r="A550" s="8" t="s">
        <v>22</v>
      </c>
      <c r="B550" s="8" t="s">
        <v>22</v>
      </c>
    </row>
    <row r="551" spans="1:2" hidden="1">
      <c r="A551" s="8" t="s">
        <v>191</v>
      </c>
      <c r="B551" s="8" t="s">
        <v>191</v>
      </c>
    </row>
    <row r="552" spans="1:2" hidden="1">
      <c r="A552" s="8" t="s">
        <v>192</v>
      </c>
      <c r="B552" s="8" t="s">
        <v>192</v>
      </c>
    </row>
    <row r="553" spans="1:2" hidden="1">
      <c r="A553" s="8" t="s">
        <v>60</v>
      </c>
      <c r="B553" s="8" t="s">
        <v>60</v>
      </c>
    </row>
    <row r="554" spans="1:2" hidden="1">
      <c r="A554" s="8" t="s">
        <v>26</v>
      </c>
      <c r="B554" s="8" t="s">
        <v>26</v>
      </c>
    </row>
    <row r="555" spans="1:2" hidden="1">
      <c r="A555" s="8" t="s">
        <v>193</v>
      </c>
      <c r="B555" s="8" t="s">
        <v>193</v>
      </c>
    </row>
    <row r="556" spans="1:2" hidden="1">
      <c r="A556" s="8" t="s">
        <v>156</v>
      </c>
      <c r="B556" s="8" t="s">
        <v>156</v>
      </c>
    </row>
    <row r="557" spans="1:2" hidden="1">
      <c r="A557" s="8" t="s">
        <v>26</v>
      </c>
      <c r="B557" s="8" t="s">
        <v>26</v>
      </c>
    </row>
    <row r="558" spans="1:2" hidden="1">
      <c r="A558" s="8" t="s">
        <v>157</v>
      </c>
      <c r="B558" s="8" t="s">
        <v>157</v>
      </c>
    </row>
    <row r="559" spans="1:2" hidden="1">
      <c r="A559" s="8" t="s">
        <v>223</v>
      </c>
      <c r="B559" s="8" t="s">
        <v>223</v>
      </c>
    </row>
    <row r="560" spans="1:2" hidden="1">
      <c r="A560" s="8" t="s">
        <v>26</v>
      </c>
      <c r="B560" s="8" t="s">
        <v>26</v>
      </c>
    </row>
    <row r="561" spans="1:2" hidden="1">
      <c r="A561" s="8" t="s">
        <v>22</v>
      </c>
      <c r="B561" s="8" t="s">
        <v>22</v>
      </c>
    </row>
    <row r="562" spans="1:2" hidden="1">
      <c r="A562" s="8" t="s">
        <v>26</v>
      </c>
      <c r="B562" s="8" t="s">
        <v>26</v>
      </c>
    </row>
    <row r="563" spans="1:2" hidden="1">
      <c r="A563" s="8" t="s">
        <v>193</v>
      </c>
      <c r="B563" s="8" t="s">
        <v>193</v>
      </c>
    </row>
    <row r="564" spans="1:2" hidden="1">
      <c r="A564" s="8" t="s">
        <v>22</v>
      </c>
      <c r="B564" s="8" t="s">
        <v>22</v>
      </c>
    </row>
    <row r="565" spans="1:2" hidden="1">
      <c r="A565" s="8" t="s">
        <v>26</v>
      </c>
      <c r="B565" s="8" t="s">
        <v>26</v>
      </c>
    </row>
    <row r="566" spans="1:2" hidden="1">
      <c r="A566" s="8" t="s">
        <v>26</v>
      </c>
      <c r="B566" s="8" t="s">
        <v>26</v>
      </c>
    </row>
    <row r="567" spans="1:2" hidden="1">
      <c r="A567" s="8" t="s">
        <v>22</v>
      </c>
      <c r="B567" s="8" t="s">
        <v>22</v>
      </c>
    </row>
    <row r="568" spans="1:2" hidden="1">
      <c r="A568" s="8" t="s">
        <v>35</v>
      </c>
      <c r="B568" s="8" t="s">
        <v>35</v>
      </c>
    </row>
    <row r="569" spans="1:2" hidden="1">
      <c r="A569" s="8" t="s">
        <v>152</v>
      </c>
      <c r="B569" s="8" t="s">
        <v>152</v>
      </c>
    </row>
    <row r="570" spans="1:2" hidden="1">
      <c r="A570" s="8" t="s">
        <v>22</v>
      </c>
      <c r="B570" s="8" t="s">
        <v>22</v>
      </c>
    </row>
    <row r="571" spans="1:2" hidden="1">
      <c r="A571" s="8" t="s">
        <v>191</v>
      </c>
      <c r="B571" s="8" t="s">
        <v>191</v>
      </c>
    </row>
    <row r="572" spans="1:2" hidden="1">
      <c r="A572" s="8" t="s">
        <v>192</v>
      </c>
      <c r="B572" s="8" t="s">
        <v>192</v>
      </c>
    </row>
    <row r="573" spans="1:2" hidden="1">
      <c r="A573" s="8" t="s">
        <v>60</v>
      </c>
      <c r="B573" s="8" t="s">
        <v>60</v>
      </c>
    </row>
    <row r="574" spans="1:2" hidden="1">
      <c r="A574" s="8" t="s">
        <v>26</v>
      </c>
      <c r="B574" s="8" t="s">
        <v>26</v>
      </c>
    </row>
    <row r="575" spans="1:2" hidden="1">
      <c r="A575" s="8" t="s">
        <v>35</v>
      </c>
      <c r="B575" s="8" t="s">
        <v>35</v>
      </c>
    </row>
    <row r="576" spans="1:2" hidden="1">
      <c r="A576" s="8" t="s">
        <v>192</v>
      </c>
      <c r="B576" s="8" t="s">
        <v>192</v>
      </c>
    </row>
    <row r="577" spans="1:2" hidden="1">
      <c r="A577" s="8" t="s">
        <v>154</v>
      </c>
      <c r="B577" s="8" t="s">
        <v>154</v>
      </c>
    </row>
    <row r="578" spans="1:2" hidden="1">
      <c r="A578" s="8" t="s">
        <v>192</v>
      </c>
      <c r="B578" s="8" t="s">
        <v>192</v>
      </c>
    </row>
    <row r="579" spans="1:2" hidden="1">
      <c r="A579" s="8" t="s">
        <v>35</v>
      </c>
      <c r="B579" s="8" t="s">
        <v>35</v>
      </c>
    </row>
    <row r="580" spans="1:2" hidden="1">
      <c r="A580" s="8" t="s">
        <v>152</v>
      </c>
      <c r="B580" s="8" t="s">
        <v>152</v>
      </c>
    </row>
    <row r="581" spans="1:2" hidden="1">
      <c r="A581" s="8" t="s">
        <v>22</v>
      </c>
      <c r="B581" s="8" t="s">
        <v>22</v>
      </c>
    </row>
    <row r="582" spans="1:2" hidden="1">
      <c r="A582" s="8" t="s">
        <v>191</v>
      </c>
      <c r="B582" s="8" t="s">
        <v>191</v>
      </c>
    </row>
    <row r="583" spans="1:2" hidden="1">
      <c r="A583" s="8" t="s">
        <v>192</v>
      </c>
      <c r="B583" s="8" t="s">
        <v>192</v>
      </c>
    </row>
    <row r="584" spans="1:2" hidden="1">
      <c r="A584" s="8" t="s">
        <v>60</v>
      </c>
      <c r="B584" s="8" t="s">
        <v>60</v>
      </c>
    </row>
    <row r="585" spans="1:2" hidden="1">
      <c r="A585" s="8" t="s">
        <v>485</v>
      </c>
      <c r="B585" s="8" t="s">
        <v>485</v>
      </c>
    </row>
    <row r="586" spans="1:2" hidden="1">
      <c r="A586" s="8" t="s">
        <v>484</v>
      </c>
      <c r="B586" s="8" t="s">
        <v>484</v>
      </c>
    </row>
    <row r="587" spans="1:2" hidden="1">
      <c r="A587" s="8" t="s">
        <v>26</v>
      </c>
      <c r="B587" s="8" t="s">
        <v>26</v>
      </c>
    </row>
    <row r="588" spans="1:2" hidden="1">
      <c r="A588" s="8" t="s">
        <v>324</v>
      </c>
      <c r="B588" s="8" t="s">
        <v>324</v>
      </c>
    </row>
    <row r="589" spans="1:2" hidden="1">
      <c r="A589" s="8" t="s">
        <v>482</v>
      </c>
      <c r="B589" s="8" t="s">
        <v>482</v>
      </c>
    </row>
    <row r="590" spans="1:2" hidden="1">
      <c r="A590" s="8" t="s">
        <v>196</v>
      </c>
      <c r="B590" s="8" t="s">
        <v>196</v>
      </c>
    </row>
    <row r="591" spans="1:2" hidden="1">
      <c r="A591" s="8" t="s">
        <v>156</v>
      </c>
      <c r="B591" s="8" t="s">
        <v>156</v>
      </c>
    </row>
    <row r="592" spans="1:2" hidden="1">
      <c r="A592" s="8" t="s">
        <v>151</v>
      </c>
      <c r="B592" s="8" t="s">
        <v>151</v>
      </c>
    </row>
    <row r="593" spans="1:3" hidden="1">
      <c r="A593" s="8" t="s">
        <v>325</v>
      </c>
      <c r="B593" s="8" t="s">
        <v>325</v>
      </c>
    </row>
    <row r="594" spans="1:3">
      <c r="A594" s="8" t="s">
        <v>507</v>
      </c>
      <c r="B594" s="8" t="s">
        <v>65</v>
      </c>
      <c r="C594" t="s">
        <v>25</v>
      </c>
    </row>
    <row r="595" spans="1:3" hidden="1">
      <c r="A595" s="8" t="s">
        <v>203</v>
      </c>
      <c r="B595" s="8" t="s">
        <v>203</v>
      </c>
    </row>
    <row r="596" spans="1:3" hidden="1">
      <c r="A596" s="8" t="s">
        <v>249</v>
      </c>
      <c r="B596" s="8" t="s">
        <v>249</v>
      </c>
    </row>
    <row r="597" spans="1:3" hidden="1">
      <c r="A597" s="8" t="s">
        <v>202</v>
      </c>
      <c r="B597" s="8" t="s">
        <v>202</v>
      </c>
    </row>
    <row r="598" spans="1:3" hidden="1">
      <c r="A598" s="8" t="s">
        <v>193</v>
      </c>
      <c r="B598" s="8" t="s">
        <v>193</v>
      </c>
    </row>
    <row r="599" spans="1:3" hidden="1">
      <c r="A599" s="8" t="s">
        <v>37</v>
      </c>
      <c r="B599" s="8" t="s">
        <v>37</v>
      </c>
    </row>
    <row r="600" spans="1:3" hidden="1">
      <c r="A600" s="8" t="s">
        <v>161</v>
      </c>
      <c r="B600" s="8" t="s">
        <v>161</v>
      </c>
    </row>
    <row r="601" spans="1:3" hidden="1">
      <c r="A601" s="8" t="s">
        <v>386</v>
      </c>
      <c r="B601" s="8" t="s">
        <v>386</v>
      </c>
    </row>
    <row r="602" spans="1:3" hidden="1">
      <c r="A602" s="8" t="s">
        <v>154</v>
      </c>
      <c r="B602" s="8" t="s">
        <v>154</v>
      </c>
    </row>
    <row r="603" spans="1:3" hidden="1">
      <c r="A603" s="8" t="s">
        <v>192</v>
      </c>
      <c r="B603" s="8" t="s">
        <v>192</v>
      </c>
    </row>
    <row r="604" spans="1:3">
      <c r="A604" s="8" t="s">
        <v>965</v>
      </c>
      <c r="B604" s="8" t="s">
        <v>201</v>
      </c>
      <c r="C604" t="s">
        <v>41</v>
      </c>
    </row>
    <row r="605" spans="1:3" hidden="1">
      <c r="A605" t="s">
        <v>26</v>
      </c>
      <c r="B605" t="s">
        <v>26</v>
      </c>
    </row>
    <row r="606" spans="1:3" hidden="1">
      <c r="A606" s="8" t="s">
        <v>157</v>
      </c>
      <c r="B606" s="8" t="s">
        <v>157</v>
      </c>
    </row>
    <row r="607" spans="1:3" hidden="1">
      <c r="A607" s="8" t="s">
        <v>26</v>
      </c>
      <c r="B607" s="8" t="s">
        <v>26</v>
      </c>
    </row>
    <row r="608" spans="1:3" hidden="1">
      <c r="A608" s="8" t="s">
        <v>22</v>
      </c>
      <c r="B608" s="8" t="s">
        <v>22</v>
      </c>
    </row>
    <row r="609" spans="1:3" hidden="1">
      <c r="A609" s="8" t="s">
        <v>26</v>
      </c>
      <c r="B609" s="8" t="s">
        <v>26</v>
      </c>
    </row>
    <row r="610" spans="1:3" hidden="1">
      <c r="A610" s="8" t="s">
        <v>22</v>
      </c>
      <c r="B610" s="8" t="s">
        <v>22</v>
      </c>
    </row>
    <row r="611" spans="1:3" hidden="1">
      <c r="A611" s="8" t="s">
        <v>26</v>
      </c>
      <c r="B611" s="8" t="s">
        <v>26</v>
      </c>
    </row>
    <row r="612" spans="1:3" hidden="1">
      <c r="A612" s="8" t="s">
        <v>22</v>
      </c>
      <c r="B612" s="8" t="s">
        <v>22</v>
      </c>
    </row>
    <row r="613" spans="1:3" hidden="1">
      <c r="A613" s="8" t="s">
        <v>223</v>
      </c>
      <c r="B613" s="8" t="s">
        <v>223</v>
      </c>
    </row>
    <row r="614" spans="1:3">
      <c r="A614" s="8" t="s">
        <v>252</v>
      </c>
      <c r="B614" s="8" t="s">
        <v>201</v>
      </c>
      <c r="C614" t="s">
        <v>41</v>
      </c>
    </row>
    <row r="615" spans="1:3" hidden="1">
      <c r="A615" s="8" t="s">
        <v>203</v>
      </c>
      <c r="B615" s="8" t="s">
        <v>203</v>
      </c>
    </row>
    <row r="616" spans="1:3" hidden="1">
      <c r="A616" s="8" t="s">
        <v>202</v>
      </c>
      <c r="B616" s="8" t="s">
        <v>202</v>
      </c>
    </row>
    <row r="617" spans="1:3" hidden="1">
      <c r="A617" s="8" t="s">
        <v>193</v>
      </c>
      <c r="B617" s="8" t="s">
        <v>193</v>
      </c>
    </row>
    <row r="618" spans="1:3" hidden="1">
      <c r="A618" s="8" t="s">
        <v>37</v>
      </c>
      <c r="B618" s="8" t="s">
        <v>37</v>
      </c>
    </row>
    <row r="619" spans="1:3" hidden="1">
      <c r="A619" s="8" t="s">
        <v>223</v>
      </c>
      <c r="B619" s="8" t="s">
        <v>223</v>
      </c>
    </row>
    <row r="620" spans="1:3" hidden="1">
      <c r="A620" s="8" t="s">
        <v>252</v>
      </c>
      <c r="B620" s="8" t="s">
        <v>252</v>
      </c>
    </row>
    <row r="621" spans="1:3" hidden="1">
      <c r="A621" s="8" t="s">
        <v>203</v>
      </c>
      <c r="B621" s="8" t="s">
        <v>203</v>
      </c>
    </row>
    <row r="622" spans="1:3" hidden="1">
      <c r="A622" s="8" t="s">
        <v>202</v>
      </c>
      <c r="B622" s="8" t="s">
        <v>202</v>
      </c>
    </row>
    <row r="623" spans="1:3" hidden="1">
      <c r="A623" s="8" t="s">
        <v>193</v>
      </c>
      <c r="B623" s="8" t="s">
        <v>193</v>
      </c>
    </row>
    <row r="624" spans="1:3" hidden="1">
      <c r="A624" s="8" t="s">
        <v>223</v>
      </c>
      <c r="B624" s="8" t="s">
        <v>223</v>
      </c>
    </row>
    <row r="625" spans="1:2" hidden="1">
      <c r="A625" s="8" t="s">
        <v>252</v>
      </c>
      <c r="B625" s="8" t="s">
        <v>252</v>
      </c>
    </row>
    <row r="626" spans="1:2" hidden="1">
      <c r="A626" s="8" t="s">
        <v>203</v>
      </c>
      <c r="B626" s="8" t="s">
        <v>203</v>
      </c>
    </row>
    <row r="627" spans="1:2" hidden="1">
      <c r="A627" s="8" t="s">
        <v>202</v>
      </c>
      <c r="B627" s="8" t="s">
        <v>202</v>
      </c>
    </row>
    <row r="628" spans="1:2" hidden="1">
      <c r="A628" s="8" t="s">
        <v>193</v>
      </c>
      <c r="B628" s="8" t="s">
        <v>193</v>
      </c>
    </row>
    <row r="629" spans="1:2" hidden="1">
      <c r="A629" s="8" t="s">
        <v>37</v>
      </c>
      <c r="B629" s="8" t="s">
        <v>37</v>
      </c>
    </row>
    <row r="630" spans="1:2" hidden="1">
      <c r="A630" s="8" t="s">
        <v>35</v>
      </c>
      <c r="B630" s="8" t="s">
        <v>35</v>
      </c>
    </row>
    <row r="631" spans="1:2" hidden="1">
      <c r="A631" s="8" t="s">
        <v>152</v>
      </c>
      <c r="B631" s="8" t="s">
        <v>152</v>
      </c>
    </row>
    <row r="632" spans="1:2" hidden="1">
      <c r="A632" s="8" t="s">
        <v>22</v>
      </c>
      <c r="B632" s="8" t="s">
        <v>22</v>
      </c>
    </row>
    <row r="633" spans="1:2" hidden="1">
      <c r="A633" s="8" t="s">
        <v>191</v>
      </c>
      <c r="B633" s="8" t="s">
        <v>191</v>
      </c>
    </row>
    <row r="634" spans="1:2" hidden="1">
      <c r="A634" s="8" t="s">
        <v>192</v>
      </c>
      <c r="B634" s="8" t="s">
        <v>192</v>
      </c>
    </row>
    <row r="635" spans="1:2" hidden="1">
      <c r="A635" s="8" t="s">
        <v>60</v>
      </c>
      <c r="B635" s="8" t="s">
        <v>60</v>
      </c>
    </row>
    <row r="636" spans="1:2" hidden="1">
      <c r="A636" s="8" t="s">
        <v>193</v>
      </c>
      <c r="B636" s="8" t="s">
        <v>193</v>
      </c>
    </row>
    <row r="637" spans="1:2" hidden="1">
      <c r="A637" s="8" t="s">
        <v>202</v>
      </c>
      <c r="B637" s="8" t="s">
        <v>202</v>
      </c>
    </row>
    <row r="638" spans="1:2" hidden="1">
      <c r="A638" s="8" t="s">
        <v>203</v>
      </c>
      <c r="B638" s="8" t="s">
        <v>203</v>
      </c>
    </row>
    <row r="639" spans="1:2" hidden="1">
      <c r="A639" s="8" t="s">
        <v>35</v>
      </c>
      <c r="B639" s="8" t="s">
        <v>35</v>
      </c>
    </row>
    <row r="640" spans="1:2" hidden="1">
      <c r="A640" s="8" t="s">
        <v>152</v>
      </c>
      <c r="B640" s="8" t="s">
        <v>152</v>
      </c>
    </row>
    <row r="641" spans="1:2" hidden="1">
      <c r="A641" s="8" t="s">
        <v>22</v>
      </c>
      <c r="B641" s="8" t="s">
        <v>22</v>
      </c>
    </row>
    <row r="642" spans="1:2" hidden="1">
      <c r="A642" s="8" t="s">
        <v>191</v>
      </c>
      <c r="B642" s="8" t="s">
        <v>191</v>
      </c>
    </row>
    <row r="643" spans="1:2" hidden="1">
      <c r="A643" s="8" t="s">
        <v>192</v>
      </c>
      <c r="B643" s="8" t="s">
        <v>192</v>
      </c>
    </row>
    <row r="644" spans="1:2" hidden="1">
      <c r="A644" s="8" t="s">
        <v>60</v>
      </c>
      <c r="B644" s="8" t="s">
        <v>60</v>
      </c>
    </row>
    <row r="645" spans="1:2" hidden="1">
      <c r="A645" s="8" t="s">
        <v>210</v>
      </c>
      <c r="B645" s="8" t="s">
        <v>210</v>
      </c>
    </row>
    <row r="646" spans="1:2" hidden="1">
      <c r="A646" s="8" t="s">
        <v>35</v>
      </c>
      <c r="B646" s="8" t="s">
        <v>35</v>
      </c>
    </row>
    <row r="647" spans="1:2" hidden="1">
      <c r="A647" s="8" t="s">
        <v>152</v>
      </c>
      <c r="B647" s="8" t="s">
        <v>152</v>
      </c>
    </row>
    <row r="648" spans="1:2" hidden="1">
      <c r="A648" s="8" t="s">
        <v>22</v>
      </c>
      <c r="B648" s="8" t="s">
        <v>22</v>
      </c>
    </row>
    <row r="649" spans="1:2" hidden="1">
      <c r="A649" s="8" t="s">
        <v>191</v>
      </c>
      <c r="B649" s="8" t="s">
        <v>191</v>
      </c>
    </row>
    <row r="650" spans="1:2" hidden="1">
      <c r="A650" s="8" t="s">
        <v>192</v>
      </c>
      <c r="B650" s="8" t="s">
        <v>192</v>
      </c>
    </row>
    <row r="651" spans="1:2" hidden="1">
      <c r="A651" s="8" t="s">
        <v>60</v>
      </c>
      <c r="B651" s="8" t="s">
        <v>60</v>
      </c>
    </row>
    <row r="652" spans="1:2" hidden="1">
      <c r="A652" s="8" t="s">
        <v>35</v>
      </c>
      <c r="B652" s="8" t="s">
        <v>35</v>
      </c>
    </row>
    <row r="653" spans="1:2" hidden="1">
      <c r="A653" s="8" t="s">
        <v>152</v>
      </c>
      <c r="B653" s="8" t="s">
        <v>152</v>
      </c>
    </row>
    <row r="654" spans="1:2" hidden="1">
      <c r="A654" s="8" t="s">
        <v>22</v>
      </c>
      <c r="B654" s="8" t="s">
        <v>22</v>
      </c>
    </row>
    <row r="655" spans="1:2" hidden="1">
      <c r="A655" s="8" t="s">
        <v>191</v>
      </c>
      <c r="B655" s="8" t="s">
        <v>191</v>
      </c>
    </row>
    <row r="656" spans="1:2" hidden="1">
      <c r="A656" s="8" t="s">
        <v>192</v>
      </c>
      <c r="B656" s="8" t="s">
        <v>192</v>
      </c>
    </row>
    <row r="657" spans="1:2" hidden="1">
      <c r="A657" s="8" t="s">
        <v>60</v>
      </c>
      <c r="B657" s="8" t="s">
        <v>60</v>
      </c>
    </row>
    <row r="658" spans="1:2" hidden="1">
      <c r="A658" s="8" t="s">
        <v>202</v>
      </c>
      <c r="B658" s="8" t="s">
        <v>202</v>
      </c>
    </row>
    <row r="659" spans="1:2" hidden="1">
      <c r="A659" s="8" t="s">
        <v>193</v>
      </c>
      <c r="B659" s="8" t="s">
        <v>193</v>
      </c>
    </row>
    <row r="660" spans="1:2" hidden="1">
      <c r="A660" s="8" t="s">
        <v>203</v>
      </c>
      <c r="B660" s="8" t="s">
        <v>203</v>
      </c>
    </row>
    <row r="661" spans="1:2" hidden="1">
      <c r="A661" s="8" t="s">
        <v>60</v>
      </c>
      <c r="B661" s="8" t="s">
        <v>60</v>
      </c>
    </row>
    <row r="662" spans="1:2" hidden="1">
      <c r="A662" s="8" t="s">
        <v>192</v>
      </c>
      <c r="B662" s="8" t="s">
        <v>192</v>
      </c>
    </row>
    <row r="663" spans="1:2" hidden="1">
      <c r="A663" s="8" t="s">
        <v>35</v>
      </c>
      <c r="B663" s="8" t="s">
        <v>35</v>
      </c>
    </row>
    <row r="664" spans="1:2" hidden="1">
      <c r="A664" s="8" t="s">
        <v>60</v>
      </c>
      <c r="B664" s="8" t="s">
        <v>60</v>
      </c>
    </row>
    <row r="665" spans="1:2" hidden="1">
      <c r="A665" s="8" t="s">
        <v>192</v>
      </c>
      <c r="B665" s="8" t="s">
        <v>192</v>
      </c>
    </row>
    <row r="666" spans="1:2" hidden="1">
      <c r="A666" s="8" t="s">
        <v>35</v>
      </c>
      <c r="B666" s="8" t="s">
        <v>35</v>
      </c>
    </row>
    <row r="667" spans="1:2" hidden="1">
      <c r="A667" s="8" t="s">
        <v>152</v>
      </c>
      <c r="B667" s="8" t="s">
        <v>152</v>
      </c>
    </row>
    <row r="668" spans="1:2" hidden="1">
      <c r="A668" s="8" t="s">
        <v>22</v>
      </c>
      <c r="B668" s="8" t="s">
        <v>22</v>
      </c>
    </row>
    <row r="669" spans="1:2" hidden="1">
      <c r="A669" s="8" t="s">
        <v>191</v>
      </c>
      <c r="B669" s="8" t="s">
        <v>191</v>
      </c>
    </row>
    <row r="670" spans="1:2" hidden="1">
      <c r="A670" s="8" t="s">
        <v>192</v>
      </c>
      <c r="B670" s="8" t="s">
        <v>192</v>
      </c>
    </row>
    <row r="671" spans="1:2" hidden="1">
      <c r="A671" s="8" t="s">
        <v>60</v>
      </c>
      <c r="B671" s="8" t="s">
        <v>60</v>
      </c>
    </row>
    <row r="672" spans="1:2" hidden="1">
      <c r="A672" s="8" t="s">
        <v>35</v>
      </c>
      <c r="B672" s="8" t="s">
        <v>35</v>
      </c>
    </row>
    <row r="673" spans="1:2" hidden="1">
      <c r="A673" s="8" t="s">
        <v>152</v>
      </c>
      <c r="B673" s="8" t="s">
        <v>152</v>
      </c>
    </row>
    <row r="674" spans="1:2" hidden="1">
      <c r="A674" s="8" t="s">
        <v>22</v>
      </c>
      <c r="B674" s="8" t="s">
        <v>22</v>
      </c>
    </row>
    <row r="675" spans="1:2" hidden="1">
      <c r="A675" s="8" t="s">
        <v>191</v>
      </c>
      <c r="B675" s="8" t="s">
        <v>191</v>
      </c>
    </row>
    <row r="676" spans="1:2" hidden="1">
      <c r="A676" s="8" t="s">
        <v>192</v>
      </c>
      <c r="B676" s="8" t="s">
        <v>192</v>
      </c>
    </row>
    <row r="677" spans="1:2" hidden="1">
      <c r="A677" s="8" t="s">
        <v>60</v>
      </c>
      <c r="B677" s="8" t="s">
        <v>60</v>
      </c>
    </row>
    <row r="678" spans="1:2" hidden="1">
      <c r="A678" s="8" t="s">
        <v>35</v>
      </c>
      <c r="B678" s="8" t="s">
        <v>35</v>
      </c>
    </row>
    <row r="679" spans="1:2" hidden="1">
      <c r="A679" s="8" t="s">
        <v>152</v>
      </c>
      <c r="B679" s="8" t="s">
        <v>152</v>
      </c>
    </row>
    <row r="680" spans="1:2" hidden="1">
      <c r="A680" s="8" t="s">
        <v>22</v>
      </c>
      <c r="B680" s="8" t="s">
        <v>22</v>
      </c>
    </row>
    <row r="681" spans="1:2" hidden="1">
      <c r="A681" s="8" t="s">
        <v>191</v>
      </c>
      <c r="B681" s="8" t="s">
        <v>191</v>
      </c>
    </row>
    <row r="682" spans="1:2" hidden="1">
      <c r="A682" s="8" t="s">
        <v>192</v>
      </c>
      <c r="B682" s="8" t="s">
        <v>192</v>
      </c>
    </row>
    <row r="683" spans="1:2" hidden="1">
      <c r="A683" s="8" t="s">
        <v>60</v>
      </c>
      <c r="B683" s="8" t="s">
        <v>60</v>
      </c>
    </row>
    <row r="684" spans="1:2" hidden="1">
      <c r="A684" s="8" t="s">
        <v>35</v>
      </c>
      <c r="B684" s="8" t="s">
        <v>35</v>
      </c>
    </row>
    <row r="685" spans="1:2" hidden="1">
      <c r="A685" s="8" t="s">
        <v>152</v>
      </c>
      <c r="B685" s="8" t="s">
        <v>152</v>
      </c>
    </row>
    <row r="686" spans="1:2" hidden="1">
      <c r="A686" s="8" t="s">
        <v>22</v>
      </c>
      <c r="B686" s="8" t="s">
        <v>22</v>
      </c>
    </row>
    <row r="687" spans="1:2" hidden="1">
      <c r="A687" s="8" t="s">
        <v>191</v>
      </c>
      <c r="B687" s="8" t="s">
        <v>191</v>
      </c>
    </row>
    <row r="688" spans="1:2" hidden="1">
      <c r="A688" s="8" t="s">
        <v>192</v>
      </c>
      <c r="B688" s="8" t="s">
        <v>192</v>
      </c>
    </row>
    <row r="689" spans="1:3" hidden="1">
      <c r="A689" s="8" t="s">
        <v>60</v>
      </c>
      <c r="B689" s="8" t="s">
        <v>60</v>
      </c>
    </row>
    <row r="690" spans="1:3" hidden="1">
      <c r="A690" s="8" t="s">
        <v>26</v>
      </c>
      <c r="B690" s="8" t="s">
        <v>26</v>
      </c>
    </row>
    <row r="691" spans="1:3" hidden="1">
      <c r="A691" s="8" t="s">
        <v>324</v>
      </c>
      <c r="B691" s="8" t="s">
        <v>324</v>
      </c>
    </row>
    <row r="692" spans="1:3" hidden="1">
      <c r="A692" s="8" t="s">
        <v>156</v>
      </c>
      <c r="B692" s="8" t="s">
        <v>156</v>
      </c>
    </row>
    <row r="693" spans="1:3" hidden="1">
      <c r="A693" s="8" t="s">
        <v>151</v>
      </c>
      <c r="B693" s="8" t="s">
        <v>151</v>
      </c>
    </row>
    <row r="694" spans="1:3" hidden="1">
      <c r="A694" s="8" t="s">
        <v>482</v>
      </c>
      <c r="B694" s="8" t="s">
        <v>482</v>
      </c>
    </row>
    <row r="695" spans="1:3" hidden="1">
      <c r="A695" s="8" t="s">
        <v>196</v>
      </c>
      <c r="B695" s="8" t="s">
        <v>196</v>
      </c>
    </row>
    <row r="696" spans="1:3" hidden="1">
      <c r="A696" s="8" t="s">
        <v>202</v>
      </c>
      <c r="B696" s="8" t="s">
        <v>202</v>
      </c>
    </row>
    <row r="697" spans="1:3" hidden="1">
      <c r="A697" s="8" t="s">
        <v>193</v>
      </c>
      <c r="B697" s="8" t="s">
        <v>193</v>
      </c>
    </row>
    <row r="698" spans="1:3" hidden="1">
      <c r="A698" s="8" t="s">
        <v>203</v>
      </c>
      <c r="B698" s="8" t="s">
        <v>203</v>
      </c>
    </row>
    <row r="699" spans="1:3" hidden="1">
      <c r="A699" s="8" t="s">
        <v>249</v>
      </c>
      <c r="B699" s="8" t="s">
        <v>249</v>
      </c>
    </row>
    <row r="700" spans="1:3" hidden="1">
      <c r="A700" s="8" t="s">
        <v>161</v>
      </c>
      <c r="B700" s="8" t="s">
        <v>161</v>
      </c>
    </row>
    <row r="701" spans="1:3" hidden="1">
      <c r="A701" s="8" t="s">
        <v>37</v>
      </c>
      <c r="B701" s="8" t="s">
        <v>37</v>
      </c>
    </row>
    <row r="702" spans="1:3" hidden="1">
      <c r="A702" s="8" t="s">
        <v>161</v>
      </c>
      <c r="B702" s="8" t="s">
        <v>161</v>
      </c>
    </row>
    <row r="703" spans="1:3" hidden="1">
      <c r="A703" s="8" t="s">
        <v>203</v>
      </c>
      <c r="B703" s="8" t="s">
        <v>203</v>
      </c>
    </row>
    <row r="704" spans="1:3">
      <c r="A704" s="8" t="s">
        <v>671</v>
      </c>
      <c r="B704" s="8" t="s">
        <v>65</v>
      </c>
      <c r="C704" t="s">
        <v>41</v>
      </c>
    </row>
    <row r="705" spans="1:3">
      <c r="A705" s="8" t="s">
        <v>612</v>
      </c>
      <c r="B705" s="8" t="s">
        <v>65</v>
      </c>
      <c r="C705" t="s">
        <v>41</v>
      </c>
    </row>
    <row r="706" spans="1:3" hidden="1">
      <c r="A706" s="8" t="s">
        <v>202</v>
      </c>
      <c r="B706" s="8" t="s">
        <v>202</v>
      </c>
    </row>
    <row r="707" spans="1:3" hidden="1">
      <c r="A707" s="8" t="s">
        <v>249</v>
      </c>
      <c r="B707" s="8" t="s">
        <v>249</v>
      </c>
    </row>
    <row r="708" spans="1:3" hidden="1">
      <c r="A708" s="8" t="s">
        <v>193</v>
      </c>
      <c r="B708" s="8" t="s">
        <v>193</v>
      </c>
    </row>
    <row r="709" spans="1:3" hidden="1">
      <c r="A709" t="s">
        <v>37</v>
      </c>
      <c r="B709" t="s">
        <v>37</v>
      </c>
    </row>
    <row r="710" spans="1:3">
      <c r="A710" s="8" t="s">
        <v>615</v>
      </c>
      <c r="B710" s="8" t="s">
        <v>65</v>
      </c>
      <c r="C710" t="s">
        <v>41</v>
      </c>
    </row>
    <row r="711" spans="1:3" hidden="1">
      <c r="A711" s="8" t="s">
        <v>154</v>
      </c>
      <c r="B711" s="8" t="s">
        <v>154</v>
      </c>
    </row>
    <row r="712" spans="1:3" hidden="1">
      <c r="A712" s="8" t="s">
        <v>155</v>
      </c>
      <c r="B712" s="8" t="s">
        <v>155</v>
      </c>
    </row>
    <row r="713" spans="1:3" hidden="1">
      <c r="A713" s="8" t="s">
        <v>615</v>
      </c>
      <c r="B713" s="8" t="s">
        <v>615</v>
      </c>
    </row>
    <row r="714" spans="1:3" hidden="1">
      <c r="A714" s="8" t="s">
        <v>155</v>
      </c>
      <c r="B714" s="8" t="s">
        <v>155</v>
      </c>
    </row>
    <row r="715" spans="1:3" hidden="1">
      <c r="A715" s="8" t="s">
        <v>615</v>
      </c>
      <c r="B715" s="8" t="s">
        <v>615</v>
      </c>
    </row>
    <row r="716" spans="1:3" hidden="1">
      <c r="A716" s="8" t="s">
        <v>202</v>
      </c>
      <c r="B716" s="8" t="s">
        <v>202</v>
      </c>
    </row>
    <row r="717" spans="1:3" hidden="1">
      <c r="A717" s="8" t="s">
        <v>193</v>
      </c>
      <c r="B717" s="8" t="s">
        <v>193</v>
      </c>
    </row>
    <row r="718" spans="1:3" hidden="1">
      <c r="A718" s="8" t="s">
        <v>615</v>
      </c>
      <c r="B718" s="8" t="s">
        <v>615</v>
      </c>
    </row>
    <row r="719" spans="1:3">
      <c r="A719" s="8" t="s">
        <v>18</v>
      </c>
      <c r="B719" s="8" t="s">
        <v>65</v>
      </c>
      <c r="C719" t="s">
        <v>25</v>
      </c>
    </row>
    <row r="720" spans="1:3" hidden="1">
      <c r="A720" s="8" t="s">
        <v>18</v>
      </c>
      <c r="B720" s="8" t="s">
        <v>615</v>
      </c>
    </row>
    <row r="721" spans="1:2" hidden="1">
      <c r="A721" s="8" t="s">
        <v>35</v>
      </c>
      <c r="B721" s="8" t="s">
        <v>18</v>
      </c>
    </row>
    <row r="722" spans="1:2" hidden="1">
      <c r="A722" s="8" t="s">
        <v>152</v>
      </c>
      <c r="B722" s="8" t="s">
        <v>35</v>
      </c>
    </row>
    <row r="723" spans="1:2" hidden="1">
      <c r="A723" s="8" t="s">
        <v>22</v>
      </c>
      <c r="B723" s="8" t="s">
        <v>152</v>
      </c>
    </row>
    <row r="724" spans="1:2" hidden="1">
      <c r="A724" s="8" t="s">
        <v>191</v>
      </c>
      <c r="B724" s="8" t="s">
        <v>22</v>
      </c>
    </row>
    <row r="725" spans="1:2" hidden="1">
      <c r="A725" s="8" t="s">
        <v>192</v>
      </c>
      <c r="B725" s="8" t="s">
        <v>191</v>
      </c>
    </row>
    <row r="726" spans="1:2" hidden="1">
      <c r="A726" s="8" t="s">
        <v>60</v>
      </c>
      <c r="B726" s="8" t="s">
        <v>192</v>
      </c>
    </row>
    <row r="727" spans="1:2" hidden="1">
      <c r="A727" s="11" t="s">
        <v>192</v>
      </c>
      <c r="B727" s="8" t="s">
        <v>60</v>
      </c>
    </row>
    <row r="728" spans="1:2" hidden="1">
      <c r="A728" s="11" t="s">
        <v>60</v>
      </c>
      <c r="B728" s="11" t="s">
        <v>192</v>
      </c>
    </row>
    <row r="729" spans="1:2" hidden="1">
      <c r="A729" s="11" t="s">
        <v>152</v>
      </c>
      <c r="B729" s="11" t="s">
        <v>60</v>
      </c>
    </row>
    <row r="730" spans="1:2" hidden="1">
      <c r="A730" s="8" t="s">
        <v>35</v>
      </c>
      <c r="B730" s="11" t="s">
        <v>152</v>
      </c>
    </row>
    <row r="731" spans="1:2" hidden="1">
      <c r="A731" s="8" t="s">
        <v>152</v>
      </c>
      <c r="B731" s="8" t="s">
        <v>35</v>
      </c>
    </row>
    <row r="732" spans="1:2" hidden="1">
      <c r="A732" s="8" t="s">
        <v>22</v>
      </c>
      <c r="B732" s="8" t="s">
        <v>152</v>
      </c>
    </row>
    <row r="733" spans="1:2" hidden="1">
      <c r="A733" s="8" t="s">
        <v>191</v>
      </c>
      <c r="B733" s="8" t="s">
        <v>22</v>
      </c>
    </row>
    <row r="734" spans="1:2" hidden="1">
      <c r="A734" s="8" t="s">
        <v>192</v>
      </c>
      <c r="B734" s="8" t="s">
        <v>191</v>
      </c>
    </row>
    <row r="735" spans="1:2" hidden="1">
      <c r="A735" s="8" t="s">
        <v>60</v>
      </c>
      <c r="B735" s="8" t="s">
        <v>192</v>
      </c>
    </row>
    <row r="736" spans="1:2" hidden="1">
      <c r="A736" s="8" t="s">
        <v>18</v>
      </c>
      <c r="B736" s="8" t="s">
        <v>60</v>
      </c>
    </row>
    <row r="737" spans="1:3" hidden="1">
      <c r="A737" s="8" t="s">
        <v>37</v>
      </c>
      <c r="B737" s="8" t="s">
        <v>18</v>
      </c>
    </row>
    <row r="738" spans="1:3" hidden="1">
      <c r="A738" t="s">
        <v>965</v>
      </c>
      <c r="B738" s="8" t="s">
        <v>37</v>
      </c>
    </row>
    <row r="739" spans="1:3" hidden="1">
      <c r="A739" s="8" t="s">
        <v>202</v>
      </c>
      <c r="B739" t="s">
        <v>965</v>
      </c>
    </row>
    <row r="740" spans="1:3" hidden="1">
      <c r="A740" s="8" t="s">
        <v>193</v>
      </c>
      <c r="B740" s="8" t="s">
        <v>202</v>
      </c>
    </row>
    <row r="741" spans="1:3" hidden="1">
      <c r="A741" s="8" t="s">
        <v>203</v>
      </c>
      <c r="B741" s="8" t="s">
        <v>193</v>
      </c>
    </row>
    <row r="742" spans="1:3" hidden="1">
      <c r="A742" s="8" t="s">
        <v>37</v>
      </c>
      <c r="B742" s="8" t="s">
        <v>203</v>
      </c>
    </row>
    <row r="743" spans="1:3">
      <c r="A743" s="8" t="s">
        <v>547</v>
      </c>
      <c r="B743" s="8" t="s">
        <v>201</v>
      </c>
      <c r="C743" t="s">
        <v>41</v>
      </c>
    </row>
    <row r="744" spans="1:3" hidden="1">
      <c r="A744" s="8" t="s">
        <v>37</v>
      </c>
      <c r="B744" s="8"/>
    </row>
    <row r="745" spans="1:3" hidden="1">
      <c r="A745" s="8" t="s">
        <v>37</v>
      </c>
      <c r="B745" s="8" t="s">
        <v>37</v>
      </c>
    </row>
    <row r="746" spans="1:3" hidden="1">
      <c r="A746" t="s">
        <v>965</v>
      </c>
      <c r="B746" s="8" t="s">
        <v>37</v>
      </c>
    </row>
    <row r="747" spans="1:3" hidden="1">
      <c r="A747" s="8" t="s">
        <v>37</v>
      </c>
      <c r="B747" t="s">
        <v>965</v>
      </c>
    </row>
    <row r="748" spans="1:3" hidden="1">
      <c r="A748" s="8" t="s">
        <v>202</v>
      </c>
      <c r="B748" s="8"/>
    </row>
    <row r="749" spans="1:3">
      <c r="A749" s="8" t="s">
        <v>567</v>
      </c>
      <c r="B749" s="8" t="s">
        <v>65</v>
      </c>
      <c r="C749" t="s">
        <v>41</v>
      </c>
    </row>
    <row r="750" spans="1:3" hidden="1">
      <c r="A750" s="8" t="s">
        <v>37</v>
      </c>
      <c r="B750" s="8"/>
    </row>
    <row r="751" spans="1:3" hidden="1">
      <c r="A751" s="8" t="s">
        <v>155</v>
      </c>
      <c r="B751" s="8" t="s">
        <v>37</v>
      </c>
    </row>
    <row r="752" spans="1:3" hidden="1">
      <c r="A752" s="8" t="s">
        <v>37</v>
      </c>
      <c r="B752" s="8" t="s">
        <v>155</v>
      </c>
    </row>
    <row r="753" spans="1:3" hidden="1">
      <c r="A753" s="8" t="s">
        <v>157</v>
      </c>
      <c r="B753" s="8" t="s">
        <v>37</v>
      </c>
    </row>
    <row r="754" spans="1:3" hidden="1">
      <c r="A754" s="8" t="s">
        <v>331</v>
      </c>
      <c r="B754" s="8" t="s">
        <v>157</v>
      </c>
    </row>
    <row r="755" spans="1:3" hidden="1">
      <c r="A755" s="8" t="s">
        <v>547</v>
      </c>
      <c r="B755" s="8" t="s">
        <v>331</v>
      </c>
    </row>
    <row r="756" spans="1:3" hidden="1">
      <c r="A756" s="8" t="s">
        <v>18</v>
      </c>
      <c r="B756" s="8" t="s">
        <v>547</v>
      </c>
    </row>
    <row r="757" spans="1:3" hidden="1">
      <c r="A757" s="8" t="s">
        <v>37</v>
      </c>
      <c r="B757" s="8" t="s">
        <v>18</v>
      </c>
    </row>
    <row r="758" spans="1:3" hidden="1">
      <c r="A758" s="8" t="s">
        <v>37</v>
      </c>
      <c r="B758" s="8" t="s">
        <v>37</v>
      </c>
    </row>
    <row r="759" spans="1:3" hidden="1">
      <c r="A759" s="8" t="s">
        <v>37</v>
      </c>
      <c r="B759" s="8" t="s">
        <v>37</v>
      </c>
    </row>
    <row r="760" spans="1:3" hidden="1">
      <c r="A760" s="8" t="s">
        <v>37</v>
      </c>
      <c r="B760" s="8" t="s">
        <v>37</v>
      </c>
    </row>
    <row r="761" spans="1:3" hidden="1">
      <c r="A761" s="8" t="s">
        <v>35</v>
      </c>
      <c r="B761" s="8" t="s">
        <v>37</v>
      </c>
    </row>
    <row r="762" spans="1:3">
      <c r="A762" s="8" t="s">
        <v>605</v>
      </c>
      <c r="B762" s="8" t="s">
        <v>201</v>
      </c>
      <c r="C762" t="s">
        <v>25</v>
      </c>
    </row>
    <row r="763" spans="1:3" hidden="1">
      <c r="A763" s="8" t="s">
        <v>567</v>
      </c>
      <c r="B763" s="8"/>
    </row>
    <row r="764" spans="1:3">
      <c r="A764" s="8" t="s">
        <v>610</v>
      </c>
      <c r="B764" s="8" t="s">
        <v>25</v>
      </c>
      <c r="C764" t="s">
        <v>25</v>
      </c>
    </row>
    <row r="765" spans="1:3">
      <c r="A765" s="8" t="s">
        <v>611</v>
      </c>
      <c r="B765" s="8" t="s">
        <v>65</v>
      </c>
      <c r="C765" t="s">
        <v>41</v>
      </c>
    </row>
    <row r="766" spans="1:3" hidden="1">
      <c r="A766" s="8" t="s">
        <v>154</v>
      </c>
      <c r="B766" s="8"/>
    </row>
    <row r="767" spans="1:3" hidden="1">
      <c r="A767" s="8" t="s">
        <v>161</v>
      </c>
      <c r="B767" s="8"/>
    </row>
    <row r="768" spans="1:3" hidden="1">
      <c r="A768" s="8" t="s">
        <v>22</v>
      </c>
      <c r="B768" s="8" t="s">
        <v>154</v>
      </c>
    </row>
    <row r="769" spans="1:3" hidden="1">
      <c r="A769" s="8" t="s">
        <v>222</v>
      </c>
      <c r="B769" s="8" t="s">
        <v>161</v>
      </c>
    </row>
    <row r="770" spans="1:3" hidden="1">
      <c r="A770" s="8" t="s">
        <v>223</v>
      </c>
      <c r="B770" s="8" t="s">
        <v>22</v>
      </c>
    </row>
    <row r="771" spans="1:3" hidden="1">
      <c r="A771" s="8" t="s">
        <v>204</v>
      </c>
      <c r="B771" s="8" t="s">
        <v>222</v>
      </c>
    </row>
    <row r="772" spans="1:3" hidden="1">
      <c r="A772" s="8" t="s">
        <v>612</v>
      </c>
      <c r="B772" s="8" t="s">
        <v>223</v>
      </c>
    </row>
    <row r="773" spans="1:3">
      <c r="A773" s="8" t="s">
        <v>613</v>
      </c>
      <c r="B773" s="8" t="s">
        <v>65</v>
      </c>
      <c r="C773" t="s">
        <v>41</v>
      </c>
    </row>
    <row r="774" spans="1:3">
      <c r="A774" s="8" t="s">
        <v>614</v>
      </c>
      <c r="B774" s="8" t="s">
        <v>65</v>
      </c>
      <c r="C774" t="s">
        <v>41</v>
      </c>
    </row>
    <row r="775" spans="1:3" hidden="1">
      <c r="A775" s="8" t="s">
        <v>203</v>
      </c>
      <c r="B775" s="8"/>
    </row>
    <row r="776" spans="1:3" hidden="1">
      <c r="A776" s="8" t="s">
        <v>157</v>
      </c>
      <c r="B776" s="8"/>
    </row>
    <row r="777" spans="1:3" hidden="1">
      <c r="A777" s="8" t="s">
        <v>155</v>
      </c>
      <c r="B777" s="8" t="s">
        <v>203</v>
      </c>
    </row>
    <row r="778" spans="1:3" hidden="1">
      <c r="A778" s="8" t="s">
        <v>615</v>
      </c>
      <c r="B778" s="8" t="s">
        <v>157</v>
      </c>
    </row>
    <row r="779" spans="1:3" hidden="1">
      <c r="A779" s="8" t="s">
        <v>202</v>
      </c>
      <c r="B779" s="8" t="s">
        <v>155</v>
      </c>
    </row>
    <row r="780" spans="1:3" hidden="1">
      <c r="A780" s="8" t="s">
        <v>37</v>
      </c>
      <c r="B780" s="8" t="s">
        <v>615</v>
      </c>
    </row>
    <row r="781" spans="1:3" hidden="1">
      <c r="A781" s="8" t="s">
        <v>193</v>
      </c>
      <c r="B781" s="8" t="s">
        <v>202</v>
      </c>
    </row>
    <row r="782" spans="1:3">
      <c r="A782" s="8" t="s">
        <v>616</v>
      </c>
      <c r="B782" s="8" t="s">
        <v>41</v>
      </c>
      <c r="C782" t="s">
        <v>41</v>
      </c>
    </row>
    <row r="783" spans="1:3" hidden="1">
      <c r="A783" s="8" t="s">
        <v>18</v>
      </c>
      <c r="B783" s="8" t="s">
        <v>193</v>
      </c>
    </row>
    <row r="784" spans="1:3" hidden="1">
      <c r="A784" s="8" t="s">
        <v>161</v>
      </c>
      <c r="B784" s="8"/>
    </row>
    <row r="785" spans="1:2" hidden="1">
      <c r="A785" s="8" t="s">
        <v>26</v>
      </c>
      <c r="B785" s="8" t="s">
        <v>614</v>
      </c>
    </row>
    <row r="786" spans="1:2" hidden="1">
      <c r="A786" s="8" t="s">
        <v>37</v>
      </c>
      <c r="B786" s="8" t="s">
        <v>37</v>
      </c>
    </row>
    <row r="787" spans="1:2" hidden="1">
      <c r="A787" s="8" t="s">
        <v>37</v>
      </c>
      <c r="B787" s="8"/>
    </row>
    <row r="788" spans="1:2" hidden="1">
      <c r="A788" s="8" t="s">
        <v>18</v>
      </c>
      <c r="B788" s="8" t="s">
        <v>616</v>
      </c>
    </row>
    <row r="789" spans="1:2" hidden="1">
      <c r="A789" s="8" t="s">
        <v>37</v>
      </c>
      <c r="B789" s="8" t="s">
        <v>18</v>
      </c>
    </row>
    <row r="790" spans="1:2" hidden="1">
      <c r="A790" s="8" t="s">
        <v>202</v>
      </c>
      <c r="B790" s="8" t="s">
        <v>161</v>
      </c>
    </row>
    <row r="791" spans="1:2" hidden="1">
      <c r="A791" s="8" t="s">
        <v>203</v>
      </c>
      <c r="B791" s="8" t="s">
        <v>26</v>
      </c>
    </row>
    <row r="792" spans="1:2" hidden="1">
      <c r="A792" s="8" t="s">
        <v>193</v>
      </c>
      <c r="B792" s="8" t="s">
        <v>26</v>
      </c>
    </row>
    <row r="793" spans="1:2" hidden="1">
      <c r="A793" s="8" t="s">
        <v>161</v>
      </c>
      <c r="B793" s="8" t="s">
        <v>204</v>
      </c>
    </row>
    <row r="794" spans="1:2" hidden="1">
      <c r="A794" s="8" t="s">
        <v>223</v>
      </c>
      <c r="B794" s="8" t="s">
        <v>37</v>
      </c>
    </row>
    <row r="795" spans="1:2" hidden="1">
      <c r="A795" s="8" t="s">
        <v>18</v>
      </c>
      <c r="B795" s="8" t="s">
        <v>37</v>
      </c>
    </row>
    <row r="796" spans="1:2" hidden="1">
      <c r="A796" s="8" t="s">
        <v>567</v>
      </c>
      <c r="B796" s="8" t="s">
        <v>37</v>
      </c>
    </row>
    <row r="797" spans="1:2" hidden="1">
      <c r="A797" s="8" t="s">
        <v>610</v>
      </c>
      <c r="B797" s="8" t="s">
        <v>18</v>
      </c>
    </row>
    <row r="798" spans="1:2" hidden="1">
      <c r="A798" s="8" t="s">
        <v>611</v>
      </c>
      <c r="B798" s="8" t="s">
        <v>37</v>
      </c>
    </row>
    <row r="799" spans="1:2" hidden="1">
      <c r="A799" s="8" t="s">
        <v>154</v>
      </c>
      <c r="B799" s="8" t="s">
        <v>202</v>
      </c>
    </row>
    <row r="800" spans="1:2" hidden="1">
      <c r="A800" s="8" t="s">
        <v>161</v>
      </c>
      <c r="B800" s="8" t="s">
        <v>203</v>
      </c>
    </row>
    <row r="801" spans="1:3" hidden="1">
      <c r="A801" s="8" t="s">
        <v>22</v>
      </c>
      <c r="B801" s="8" t="s">
        <v>193</v>
      </c>
    </row>
    <row r="802" spans="1:3" hidden="1">
      <c r="A802" s="8" t="s">
        <v>222</v>
      </c>
      <c r="B802" s="8" t="s">
        <v>161</v>
      </c>
    </row>
    <row r="803" spans="1:3" hidden="1">
      <c r="A803" s="8" t="s">
        <v>223</v>
      </c>
      <c r="B803" s="8" t="s">
        <v>223</v>
      </c>
    </row>
    <row r="804" spans="1:3" hidden="1">
      <c r="A804" s="8" t="s">
        <v>204</v>
      </c>
      <c r="B804" s="8" t="s">
        <v>18</v>
      </c>
    </row>
    <row r="805" spans="1:3" hidden="1">
      <c r="A805" s="8" t="s">
        <v>612</v>
      </c>
      <c r="B805" s="8" t="s">
        <v>567</v>
      </c>
    </row>
    <row r="806" spans="1:3" hidden="1">
      <c r="A806" s="8" t="s">
        <v>613</v>
      </c>
      <c r="B806" s="8" t="s">
        <v>610</v>
      </c>
    </row>
    <row r="807" spans="1:3" hidden="1">
      <c r="A807" s="8" t="s">
        <v>614</v>
      </c>
      <c r="B807" s="8" t="s">
        <v>611</v>
      </c>
    </row>
    <row r="808" spans="1:3" hidden="1">
      <c r="A808" s="8" t="s">
        <v>203</v>
      </c>
      <c r="B808" s="8" t="s">
        <v>154</v>
      </c>
    </row>
    <row r="809" spans="1:3" hidden="1">
      <c r="A809" s="8" t="s">
        <v>157</v>
      </c>
      <c r="B809" s="8" t="s">
        <v>161</v>
      </c>
    </row>
    <row r="810" spans="1:3" hidden="1">
      <c r="A810" s="8" t="s">
        <v>155</v>
      </c>
      <c r="B810" s="8" t="s">
        <v>22</v>
      </c>
    </row>
    <row r="811" spans="1:3" hidden="1">
      <c r="A811" s="8" t="s">
        <v>615</v>
      </c>
      <c r="B811" s="8" t="s">
        <v>222</v>
      </c>
    </row>
    <row r="812" spans="1:3" hidden="1">
      <c r="A812" s="8" t="s">
        <v>202</v>
      </c>
      <c r="B812" s="8" t="s">
        <v>223</v>
      </c>
    </row>
    <row r="813" spans="1:3" hidden="1">
      <c r="A813" s="8" t="s">
        <v>37</v>
      </c>
      <c r="B813" s="8" t="s">
        <v>204</v>
      </c>
    </row>
    <row r="814" spans="1:3" hidden="1">
      <c r="A814" s="8" t="s">
        <v>193</v>
      </c>
      <c r="B814" s="8" t="s">
        <v>612</v>
      </c>
    </row>
    <row r="815" spans="1:3" hidden="1">
      <c r="A815" s="8" t="s">
        <v>616</v>
      </c>
      <c r="B815" s="8" t="s">
        <v>613</v>
      </c>
    </row>
    <row r="816" spans="1:3">
      <c r="A816" s="8" t="s">
        <v>663</v>
      </c>
      <c r="B816" s="8" t="s">
        <v>65</v>
      </c>
      <c r="C816" t="s">
        <v>41</v>
      </c>
    </row>
    <row r="817" spans="1:3" hidden="1">
      <c r="A817" s="8" t="s">
        <v>249</v>
      </c>
      <c r="B817" s="8" t="s">
        <v>203</v>
      </c>
    </row>
    <row r="818" spans="1:3">
      <c r="A818" s="8" t="s">
        <v>664</v>
      </c>
      <c r="B818" s="8" t="s">
        <v>65</v>
      </c>
      <c r="C818" t="s">
        <v>41</v>
      </c>
    </row>
    <row r="819" spans="1:3">
      <c r="A819" s="8" t="s">
        <v>665</v>
      </c>
      <c r="B819" s="8" t="s">
        <v>65</v>
      </c>
      <c r="C819" t="s">
        <v>41</v>
      </c>
    </row>
    <row r="820" spans="1:3">
      <c r="A820" s="8" t="s">
        <v>666</v>
      </c>
      <c r="B820" s="8" t="s">
        <v>65</v>
      </c>
      <c r="C820" t="s">
        <v>41</v>
      </c>
    </row>
    <row r="821" spans="1:3">
      <c r="A821" s="8" t="s">
        <v>667</v>
      </c>
      <c r="B821" s="8" t="s">
        <v>65</v>
      </c>
      <c r="C821" t="s">
        <v>41</v>
      </c>
    </row>
    <row r="822" spans="1:3">
      <c r="A822" s="8" t="s">
        <v>668</v>
      </c>
      <c r="B822" s="8" t="s">
        <v>65</v>
      </c>
      <c r="C822" t="s">
        <v>41</v>
      </c>
    </row>
    <row r="823" spans="1:3">
      <c r="A823" s="8" t="s">
        <v>669</v>
      </c>
      <c r="B823" s="8" t="s">
        <v>65</v>
      </c>
      <c r="C823" t="s">
        <v>41</v>
      </c>
    </row>
    <row r="824" spans="1:3">
      <c r="A824" s="8" t="s">
        <v>670</v>
      </c>
      <c r="B824" s="8" t="s">
        <v>65</v>
      </c>
      <c r="C824" t="s">
        <v>41</v>
      </c>
    </row>
    <row r="825" spans="1:3" hidden="1">
      <c r="A825" s="8" t="s">
        <v>671</v>
      </c>
      <c r="B825" s="8"/>
    </row>
    <row r="826" spans="1:3">
      <c r="A826" s="8" t="s">
        <v>672</v>
      </c>
      <c r="B826" s="8" t="s">
        <v>65</v>
      </c>
      <c r="C826" t="s">
        <v>41</v>
      </c>
    </row>
    <row r="827" spans="1:3">
      <c r="A827" s="8" t="s">
        <v>673</v>
      </c>
      <c r="B827" s="8" t="s">
        <v>65</v>
      </c>
      <c r="C827" t="s">
        <v>41</v>
      </c>
    </row>
    <row r="828" spans="1:3">
      <c r="A828" s="8" t="s">
        <v>674</v>
      </c>
      <c r="B828" s="8" t="s">
        <v>65</v>
      </c>
      <c r="C828" t="s">
        <v>41</v>
      </c>
    </row>
    <row r="829" spans="1:3">
      <c r="A829" s="8" t="s">
        <v>675</v>
      </c>
      <c r="B829" s="8" t="s">
        <v>65</v>
      </c>
      <c r="C829" t="s">
        <v>41</v>
      </c>
    </row>
    <row r="830" spans="1:3">
      <c r="A830" s="8" t="s">
        <v>676</v>
      </c>
      <c r="B830" s="8" t="s">
        <v>65</v>
      </c>
      <c r="C830" t="s">
        <v>41</v>
      </c>
    </row>
    <row r="831" spans="1:3" hidden="1">
      <c r="A831" s="8" t="s">
        <v>330</v>
      </c>
      <c r="B831" s="8"/>
    </row>
    <row r="832" spans="1:3" hidden="1">
      <c r="A832" s="8" t="s">
        <v>62</v>
      </c>
      <c r="B832" s="8"/>
    </row>
    <row r="833" spans="1:3">
      <c r="A833" s="8" t="s">
        <v>677</v>
      </c>
      <c r="B833" s="8" t="s">
        <v>65</v>
      </c>
      <c r="C833" t="s">
        <v>41</v>
      </c>
    </row>
    <row r="834" spans="1:3" hidden="1">
      <c r="A834" s="8" t="s">
        <v>196</v>
      </c>
      <c r="B834" s="8" t="s">
        <v>671</v>
      </c>
    </row>
    <row r="835" spans="1:3" hidden="1">
      <c r="A835" s="8" t="s">
        <v>18</v>
      </c>
      <c r="B835" s="8"/>
    </row>
    <row r="836" spans="1:3" hidden="1">
      <c r="A836" s="8" t="s">
        <v>331</v>
      </c>
      <c r="B836" s="8"/>
    </row>
    <row r="837" spans="1:3" hidden="1">
      <c r="A837" s="8" t="s">
        <v>153</v>
      </c>
      <c r="B837" s="8"/>
    </row>
    <row r="838" spans="1:3" hidden="1">
      <c r="A838" s="8" t="s">
        <v>852</v>
      </c>
      <c r="B838" s="8"/>
    </row>
    <row r="839" spans="1:3" hidden="1">
      <c r="A839" s="8" t="s">
        <v>610</v>
      </c>
      <c r="B839" s="8"/>
    </row>
    <row r="840" spans="1:3" hidden="1">
      <c r="A840" s="8" t="s">
        <v>26</v>
      </c>
      <c r="B840" s="8" t="s">
        <v>330</v>
      </c>
    </row>
    <row r="841" spans="1:3">
      <c r="A841" s="8" t="s">
        <v>678</v>
      </c>
      <c r="B841" s="8" t="s">
        <v>25</v>
      </c>
      <c r="C841" t="s">
        <v>25</v>
      </c>
    </row>
    <row r="842" spans="1:3" hidden="1">
      <c r="A842" s="8" t="s">
        <v>35</v>
      </c>
      <c r="B842" s="8"/>
    </row>
    <row r="843" spans="1:3">
      <c r="A843" s="8" t="s">
        <v>679</v>
      </c>
      <c r="B843" s="8" t="s">
        <v>41</v>
      </c>
      <c r="C843" t="s">
        <v>41</v>
      </c>
    </row>
    <row r="844" spans="1:3">
      <c r="A844" s="8" t="s">
        <v>680</v>
      </c>
      <c r="B844" s="8" t="s">
        <v>201</v>
      </c>
      <c r="C844" t="s">
        <v>41</v>
      </c>
    </row>
    <row r="845" spans="1:3" hidden="1">
      <c r="A845" s="8" t="s">
        <v>298</v>
      </c>
      <c r="B845" s="8" t="s">
        <v>331</v>
      </c>
    </row>
    <row r="846" spans="1:3" hidden="1">
      <c r="A846" s="8" t="s">
        <v>18</v>
      </c>
      <c r="B846" s="8" t="s">
        <v>153</v>
      </c>
    </row>
    <row r="847" spans="1:3" hidden="1">
      <c r="A847" s="8" t="s">
        <v>37</v>
      </c>
      <c r="B847" s="8" t="s">
        <v>852</v>
      </c>
    </row>
    <row r="848" spans="1:3" hidden="1">
      <c r="A848" s="8" t="s">
        <v>18</v>
      </c>
      <c r="B848" s="8" t="s">
        <v>610</v>
      </c>
    </row>
    <row r="849" spans="1:2" hidden="1">
      <c r="A849" s="8" t="s">
        <v>567</v>
      </c>
      <c r="B849" s="8" t="s">
        <v>26</v>
      </c>
    </row>
    <row r="850" spans="1:2" ht="79" hidden="1" customHeight="1">
      <c r="A850" s="8" t="s">
        <v>610</v>
      </c>
      <c r="B850" s="8"/>
    </row>
    <row r="851" spans="1:2" hidden="1">
      <c r="A851" s="8" t="s">
        <v>611</v>
      </c>
      <c r="B851" s="8" t="s">
        <v>35</v>
      </c>
    </row>
    <row r="852" spans="1:2" hidden="1">
      <c r="A852" s="8" t="s">
        <v>154</v>
      </c>
      <c r="B852" s="8"/>
    </row>
    <row r="853" spans="1:2" hidden="1">
      <c r="A853" s="8" t="s">
        <v>161</v>
      </c>
      <c r="B853" s="8"/>
    </row>
    <row r="854" spans="1:2" hidden="1">
      <c r="A854" s="8" t="s">
        <v>22</v>
      </c>
      <c r="B854" s="8" t="s">
        <v>298</v>
      </c>
    </row>
    <row r="855" spans="1:2" hidden="1">
      <c r="A855" s="8" t="s">
        <v>222</v>
      </c>
      <c r="B855" s="8" t="s">
        <v>37</v>
      </c>
    </row>
    <row r="856" spans="1:2" hidden="1">
      <c r="A856" s="8" t="s">
        <v>223</v>
      </c>
      <c r="B856" s="8" t="s">
        <v>612</v>
      </c>
    </row>
    <row r="857" spans="1:2" hidden="1">
      <c r="A857" s="8" t="s">
        <v>204</v>
      </c>
      <c r="B857" s="8" t="s">
        <v>37</v>
      </c>
    </row>
    <row r="858" spans="1:2" hidden="1">
      <c r="A858" s="8" t="s">
        <v>612</v>
      </c>
      <c r="B858" s="8" t="s">
        <v>18</v>
      </c>
    </row>
    <row r="859" spans="1:2" hidden="1">
      <c r="A859" s="8" t="s">
        <v>613</v>
      </c>
      <c r="B859" s="8" t="s">
        <v>37</v>
      </c>
    </row>
    <row r="860" spans="1:2" hidden="1">
      <c r="A860" s="8" t="s">
        <v>614</v>
      </c>
      <c r="B860" s="8" t="s">
        <v>18</v>
      </c>
    </row>
    <row r="861" spans="1:2" hidden="1">
      <c r="A861" s="8" t="s">
        <v>203</v>
      </c>
      <c r="B861" s="8" t="s">
        <v>567</v>
      </c>
    </row>
    <row r="862" spans="1:2" hidden="1">
      <c r="A862" s="8" t="s">
        <v>157</v>
      </c>
      <c r="B862" s="8" t="s">
        <v>610</v>
      </c>
    </row>
    <row r="863" spans="1:2" hidden="1">
      <c r="A863" s="8" t="s">
        <v>155</v>
      </c>
      <c r="B863" s="8" t="s">
        <v>611</v>
      </c>
    </row>
    <row r="864" spans="1:2" hidden="1">
      <c r="A864" s="8" t="s">
        <v>615</v>
      </c>
      <c r="B864" s="8" t="s">
        <v>154</v>
      </c>
    </row>
    <row r="865" spans="1:2" hidden="1">
      <c r="A865" s="8" t="s">
        <v>202</v>
      </c>
      <c r="B865" s="8" t="s">
        <v>161</v>
      </c>
    </row>
    <row r="866" spans="1:2" hidden="1">
      <c r="A866" s="8" t="s">
        <v>37</v>
      </c>
      <c r="B866" s="8" t="s">
        <v>22</v>
      </c>
    </row>
    <row r="867" spans="1:2" hidden="1">
      <c r="A867" s="8" t="s">
        <v>193</v>
      </c>
      <c r="B867" s="8" t="s">
        <v>222</v>
      </c>
    </row>
    <row r="868" spans="1:2" hidden="1">
      <c r="A868" s="8" t="s">
        <v>616</v>
      </c>
      <c r="B868" s="8" t="s">
        <v>223</v>
      </c>
    </row>
    <row r="869" spans="1:2" hidden="1">
      <c r="A869" s="8" t="s">
        <v>663</v>
      </c>
      <c r="B869" s="8" t="s">
        <v>204</v>
      </c>
    </row>
    <row r="870" spans="1:2" hidden="1">
      <c r="A870" s="8" t="s">
        <v>249</v>
      </c>
      <c r="B870" s="8" t="s">
        <v>612</v>
      </c>
    </row>
    <row r="871" spans="1:2" hidden="1">
      <c r="A871" s="8" t="s">
        <v>664</v>
      </c>
      <c r="B871" s="8" t="s">
        <v>613</v>
      </c>
    </row>
    <row r="872" spans="1:2" hidden="1">
      <c r="A872" s="8" t="s">
        <v>665</v>
      </c>
      <c r="B872" s="8" t="s">
        <v>614</v>
      </c>
    </row>
    <row r="873" spans="1:2" hidden="1">
      <c r="A873" s="8" t="s">
        <v>666</v>
      </c>
      <c r="B873" s="8" t="s">
        <v>203</v>
      </c>
    </row>
    <row r="874" spans="1:2" hidden="1">
      <c r="A874" s="8" t="s">
        <v>667</v>
      </c>
      <c r="B874" s="8" t="s">
        <v>157</v>
      </c>
    </row>
    <row r="875" spans="1:2" hidden="1">
      <c r="A875" s="8" t="s">
        <v>668</v>
      </c>
      <c r="B875" s="8" t="s">
        <v>155</v>
      </c>
    </row>
    <row r="876" spans="1:2" hidden="1">
      <c r="A876" s="8" t="s">
        <v>669</v>
      </c>
      <c r="B876" s="8" t="s">
        <v>615</v>
      </c>
    </row>
    <row r="877" spans="1:2" hidden="1">
      <c r="A877" s="8" t="s">
        <v>670</v>
      </c>
      <c r="B877" s="8" t="s">
        <v>202</v>
      </c>
    </row>
    <row r="878" spans="1:2" hidden="1">
      <c r="A878" s="8" t="s">
        <v>671</v>
      </c>
      <c r="B878" s="8" t="s">
        <v>37</v>
      </c>
    </row>
    <row r="879" spans="1:2" hidden="1">
      <c r="A879" s="8" t="s">
        <v>672</v>
      </c>
      <c r="B879" s="8" t="s">
        <v>193</v>
      </c>
    </row>
    <row r="880" spans="1:2" hidden="1">
      <c r="A880" s="8" t="s">
        <v>673</v>
      </c>
      <c r="B880" s="8" t="s">
        <v>616</v>
      </c>
    </row>
    <row r="881" spans="1:2" hidden="1">
      <c r="A881" s="8" t="s">
        <v>674</v>
      </c>
      <c r="B881" s="8" t="s">
        <v>663</v>
      </c>
    </row>
    <row r="882" spans="1:2" hidden="1">
      <c r="A882" s="8" t="s">
        <v>675</v>
      </c>
      <c r="B882" s="8" t="s">
        <v>249</v>
      </c>
    </row>
    <row r="883" spans="1:2" hidden="1">
      <c r="A883" s="8" t="s">
        <v>676</v>
      </c>
      <c r="B883" s="8" t="s">
        <v>664</v>
      </c>
    </row>
    <row r="884" spans="1:2" hidden="1">
      <c r="A884" s="8" t="s">
        <v>330</v>
      </c>
      <c r="B884" s="8" t="s">
        <v>665</v>
      </c>
    </row>
    <row r="885" spans="1:2" hidden="1">
      <c r="A885" s="8" t="s">
        <v>62</v>
      </c>
      <c r="B885" s="8" t="s">
        <v>666</v>
      </c>
    </row>
    <row r="886" spans="1:2" hidden="1">
      <c r="A886" s="8" t="s">
        <v>677</v>
      </c>
      <c r="B886" s="8" t="s">
        <v>667</v>
      </c>
    </row>
    <row r="887" spans="1:2" hidden="1">
      <c r="A887" s="8" t="s">
        <v>196</v>
      </c>
      <c r="B887" s="8" t="s">
        <v>668</v>
      </c>
    </row>
    <row r="888" spans="1:2" hidden="1">
      <c r="A888" s="8" t="s">
        <v>18</v>
      </c>
      <c r="B888" s="8" t="s">
        <v>669</v>
      </c>
    </row>
    <row r="889" spans="1:2" hidden="1">
      <c r="A889" s="8" t="s">
        <v>331</v>
      </c>
      <c r="B889" s="8" t="s">
        <v>670</v>
      </c>
    </row>
    <row r="890" spans="1:2" hidden="1">
      <c r="A890" s="8" t="s">
        <v>153</v>
      </c>
      <c r="B890" s="8" t="s">
        <v>671</v>
      </c>
    </row>
    <row r="891" spans="1:2" hidden="1">
      <c r="A891" s="8" t="s">
        <v>852</v>
      </c>
      <c r="B891" s="8" t="s">
        <v>672</v>
      </c>
    </row>
    <row r="892" spans="1:2" hidden="1">
      <c r="A892" s="8" t="s">
        <v>610</v>
      </c>
      <c r="B892" s="8" t="s">
        <v>673</v>
      </c>
    </row>
    <row r="893" spans="1:2" hidden="1">
      <c r="A893" s="8" t="s">
        <v>26</v>
      </c>
      <c r="B893" s="8" t="s">
        <v>674</v>
      </c>
    </row>
    <row r="894" spans="1:2" hidden="1">
      <c r="A894" s="8" t="s">
        <v>678</v>
      </c>
      <c r="B894" s="8" t="s">
        <v>675</v>
      </c>
    </row>
    <row r="895" spans="1:2" hidden="1">
      <c r="A895" s="8" t="s">
        <v>35</v>
      </c>
      <c r="B895" s="8" t="s">
        <v>676</v>
      </c>
    </row>
    <row r="896" spans="1:2" hidden="1">
      <c r="A896" s="8" t="s">
        <v>679</v>
      </c>
      <c r="B896" s="8" t="s">
        <v>330</v>
      </c>
    </row>
    <row r="897" spans="1:2" hidden="1">
      <c r="A897" s="8" t="s">
        <v>680</v>
      </c>
      <c r="B897" s="8" t="s">
        <v>62</v>
      </c>
    </row>
    <row r="898" spans="1:2" hidden="1">
      <c r="A898" s="8" t="s">
        <v>298</v>
      </c>
      <c r="B898" s="8" t="s">
        <v>677</v>
      </c>
    </row>
    <row r="899" spans="1:2" hidden="1">
      <c r="A899" s="8" t="s">
        <v>18</v>
      </c>
      <c r="B899" s="8" t="s">
        <v>196</v>
      </c>
    </row>
    <row r="900" spans="1:2" hidden="1">
      <c r="A900" s="8" t="s">
        <v>37</v>
      </c>
      <c r="B900" s="8" t="s">
        <v>18</v>
      </c>
    </row>
    <row r="901" spans="1:2" hidden="1">
      <c r="A901" s="8" t="s">
        <v>18</v>
      </c>
      <c r="B901" s="8" t="s">
        <v>331</v>
      </c>
    </row>
    <row r="902" spans="1:2" hidden="1">
      <c r="A902" s="8" t="s">
        <v>37</v>
      </c>
      <c r="B902" s="8" t="s">
        <v>153</v>
      </c>
    </row>
    <row r="903" spans="1:2" hidden="1">
      <c r="A903" s="8" t="s">
        <v>26</v>
      </c>
      <c r="B903" s="8" t="s">
        <v>852</v>
      </c>
    </row>
    <row r="904" spans="1:2" hidden="1">
      <c r="A904" s="8" t="s">
        <v>154</v>
      </c>
      <c r="B904" s="8" t="s">
        <v>610</v>
      </c>
    </row>
    <row r="905" spans="1:2" hidden="1">
      <c r="A905" s="8" t="s">
        <v>157</v>
      </c>
      <c r="B905" s="8" t="s">
        <v>26</v>
      </c>
    </row>
    <row r="906" spans="1:2" hidden="1">
      <c r="A906" s="8" t="s">
        <v>161</v>
      </c>
      <c r="B906" s="8" t="s">
        <v>678</v>
      </c>
    </row>
    <row r="907" spans="1:2" hidden="1">
      <c r="A907" s="8" t="s">
        <v>298</v>
      </c>
      <c r="B907" s="8" t="s">
        <v>35</v>
      </c>
    </row>
    <row r="908" spans="1:2" hidden="1">
      <c r="A908" s="8" t="s">
        <v>202</v>
      </c>
      <c r="B908" s="8" t="s">
        <v>679</v>
      </c>
    </row>
    <row r="909" spans="1:2" hidden="1">
      <c r="A909" s="8" t="s">
        <v>193</v>
      </c>
      <c r="B909" s="8" t="s">
        <v>680</v>
      </c>
    </row>
    <row r="910" spans="1:2" hidden="1">
      <c r="A910" s="8" t="s">
        <v>203</v>
      </c>
      <c r="B910" s="8" t="s">
        <v>298</v>
      </c>
    </row>
    <row r="911" spans="1:2" hidden="1">
      <c r="A911" s="8" t="s">
        <v>37</v>
      </c>
      <c r="B911" s="8" t="s">
        <v>18</v>
      </c>
    </row>
    <row r="912" spans="1:2" hidden="1">
      <c r="A912" s="8" t="s">
        <v>37</v>
      </c>
      <c r="B912" s="8" t="s">
        <v>37</v>
      </c>
    </row>
    <row r="913" spans="1:3" hidden="1">
      <c r="A913" s="8" t="s">
        <v>35</v>
      </c>
      <c r="B913" s="8" t="s">
        <v>18</v>
      </c>
    </row>
    <row r="914" spans="1:3" hidden="1">
      <c r="A914" s="8" t="s">
        <v>35</v>
      </c>
      <c r="B914" s="8" t="s">
        <v>37</v>
      </c>
    </row>
    <row r="915" spans="1:3" hidden="1">
      <c r="A915" s="8" t="s">
        <v>161</v>
      </c>
      <c r="B915" s="8" t="s">
        <v>26</v>
      </c>
    </row>
    <row r="916" spans="1:3" hidden="1">
      <c r="A916" s="8" t="s">
        <v>161</v>
      </c>
      <c r="B916" s="8" t="s">
        <v>154</v>
      </c>
    </row>
    <row r="917" spans="1:3" hidden="1">
      <c r="A917" s="8" t="s">
        <v>37</v>
      </c>
      <c r="B917" s="8" t="s">
        <v>157</v>
      </c>
    </row>
    <row r="918" spans="1:3">
      <c r="A918" s="8" t="s">
        <v>739</v>
      </c>
      <c r="B918" s="8" t="s">
        <v>201</v>
      </c>
      <c r="C918" t="s">
        <v>25</v>
      </c>
    </row>
    <row r="919" spans="1:3">
      <c r="A919" s="8" t="s">
        <v>740</v>
      </c>
      <c r="B919" s="8" t="s">
        <v>201</v>
      </c>
      <c r="C919" t="s">
        <v>25</v>
      </c>
    </row>
    <row r="920" spans="1:3" hidden="1">
      <c r="A920" s="8" t="s">
        <v>18</v>
      </c>
      <c r="B920" s="8" t="s">
        <v>202</v>
      </c>
    </row>
    <row r="921" spans="1:3" hidden="1">
      <c r="A921" s="8" t="s">
        <v>202</v>
      </c>
      <c r="B921" s="8" t="s">
        <v>193</v>
      </c>
    </row>
    <row r="922" spans="1:3" hidden="1">
      <c r="A922" s="8" t="s">
        <v>193</v>
      </c>
      <c r="B922" s="8" t="s">
        <v>203</v>
      </c>
    </row>
    <row r="923" spans="1:3" hidden="1">
      <c r="A923" s="8" t="s">
        <v>203</v>
      </c>
      <c r="B923" s="8" t="s">
        <v>37</v>
      </c>
    </row>
    <row r="924" spans="1:3" hidden="1">
      <c r="A924" t="s">
        <v>965</v>
      </c>
      <c r="B924" s="8" t="s">
        <v>37</v>
      </c>
    </row>
    <row r="925" spans="1:3" hidden="1">
      <c r="A925" s="8" t="s">
        <v>35</v>
      </c>
      <c r="B925" s="8" t="s">
        <v>35</v>
      </c>
    </row>
    <row r="926" spans="1:3" hidden="1">
      <c r="A926" s="8" t="s">
        <v>26</v>
      </c>
      <c r="B926" s="8" t="s">
        <v>35</v>
      </c>
    </row>
    <row r="927" spans="1:3" hidden="1">
      <c r="A927" s="8" t="s">
        <v>35</v>
      </c>
      <c r="B927" s="8" t="s">
        <v>161</v>
      </c>
    </row>
    <row r="928" spans="1:3" hidden="1">
      <c r="A928" s="8" t="s">
        <v>196</v>
      </c>
      <c r="B928" s="8" t="s">
        <v>161</v>
      </c>
    </row>
    <row r="929" spans="1:2" hidden="1">
      <c r="A929" s="8" t="s">
        <v>152</v>
      </c>
      <c r="B929" s="8" t="s">
        <v>37</v>
      </c>
    </row>
    <row r="930" spans="1:2" hidden="1">
      <c r="A930" s="8" t="s">
        <v>192</v>
      </c>
      <c r="B930" s="8"/>
    </row>
    <row r="931" spans="1:2" hidden="1">
      <c r="A931" s="8" t="s">
        <v>161</v>
      </c>
      <c r="B931" s="8"/>
    </row>
    <row r="932" spans="1:2" hidden="1">
      <c r="A932" s="8" t="s">
        <v>37</v>
      </c>
      <c r="B932" s="8" t="s">
        <v>18</v>
      </c>
    </row>
    <row r="933" spans="1:2" hidden="1">
      <c r="A933" s="8" t="s">
        <v>26</v>
      </c>
      <c r="B933" s="8" t="s">
        <v>37</v>
      </c>
    </row>
    <row r="934" spans="1:2" hidden="1">
      <c r="A934" s="8" t="s">
        <v>37</v>
      </c>
      <c r="B934" s="8" t="s">
        <v>547</v>
      </c>
    </row>
    <row r="935" spans="1:2" hidden="1">
      <c r="A935" s="8" t="s">
        <v>37</v>
      </c>
      <c r="B935" s="8" t="s">
        <v>202</v>
      </c>
    </row>
    <row r="936" spans="1:2" hidden="1">
      <c r="A936" s="8" t="s">
        <v>35</v>
      </c>
      <c r="B936" s="8" t="s">
        <v>193</v>
      </c>
    </row>
    <row r="937" spans="1:2" hidden="1">
      <c r="A937" s="8" t="s">
        <v>60</v>
      </c>
      <c r="B937" s="8" t="s">
        <v>203</v>
      </c>
    </row>
    <row r="938" spans="1:2" hidden="1">
      <c r="A938" s="8" t="s">
        <v>192</v>
      </c>
      <c r="B938" t="s">
        <v>965</v>
      </c>
    </row>
    <row r="939" spans="1:2" hidden="1">
      <c r="A939" s="8" t="s">
        <v>18</v>
      </c>
      <c r="B939" s="8" t="s">
        <v>35</v>
      </c>
    </row>
    <row r="940" spans="1:2" hidden="1">
      <c r="A940" s="8" t="s">
        <v>485</v>
      </c>
      <c r="B940" s="8" t="s">
        <v>26</v>
      </c>
    </row>
    <row r="941" spans="1:2" hidden="1">
      <c r="A941" s="8" t="s">
        <v>484</v>
      </c>
      <c r="B941" s="8" t="s">
        <v>35</v>
      </c>
    </row>
    <row r="942" spans="1:2" hidden="1">
      <c r="A942" s="8" t="s">
        <v>152</v>
      </c>
      <c r="B942" s="8" t="s">
        <v>196</v>
      </c>
    </row>
    <row r="943" spans="1:2" hidden="1">
      <c r="A943" s="8" t="s">
        <v>22</v>
      </c>
      <c r="B943" s="8" t="s">
        <v>152</v>
      </c>
    </row>
    <row r="944" spans="1:2" hidden="1">
      <c r="A944" s="8" t="s">
        <v>26</v>
      </c>
      <c r="B944" s="8" t="s">
        <v>192</v>
      </c>
    </row>
    <row r="945" spans="1:3" hidden="1">
      <c r="A945" s="8" t="s">
        <v>965</v>
      </c>
      <c r="B945" s="8" t="s">
        <v>161</v>
      </c>
    </row>
    <row r="946" spans="1:3" hidden="1">
      <c r="A946" s="8" t="s">
        <v>26</v>
      </c>
      <c r="B946" s="8" t="s">
        <v>37</v>
      </c>
    </row>
    <row r="947" spans="1:3" hidden="1">
      <c r="A947" s="8" t="s">
        <v>484</v>
      </c>
      <c r="B947" s="8" t="s">
        <v>26</v>
      </c>
    </row>
    <row r="948" spans="1:3" hidden="1">
      <c r="A948" s="8" t="s">
        <v>324</v>
      </c>
      <c r="B948" s="8" t="s">
        <v>37</v>
      </c>
    </row>
    <row r="949" spans="1:3" hidden="1">
      <c r="A949" s="8" t="s">
        <v>325</v>
      </c>
      <c r="B949" s="8" t="s">
        <v>37</v>
      </c>
    </row>
    <row r="950" spans="1:3">
      <c r="A950" s="8" t="s">
        <v>910</v>
      </c>
      <c r="B950" s="8" t="s">
        <v>65</v>
      </c>
      <c r="C950" t="s">
        <v>25</v>
      </c>
    </row>
    <row r="951" spans="1:3">
      <c r="A951" s="8" t="s">
        <v>902</v>
      </c>
      <c r="B951" s="8" t="s">
        <v>65</v>
      </c>
      <c r="C951" t="s">
        <v>25</v>
      </c>
    </row>
    <row r="952" spans="1:3">
      <c r="A952" s="8" t="s">
        <v>903</v>
      </c>
      <c r="B952" s="8" t="s">
        <v>65</v>
      </c>
      <c r="C952" t="s">
        <v>25</v>
      </c>
    </row>
    <row r="953" spans="1:3">
      <c r="A953" s="8" t="s">
        <v>904</v>
      </c>
      <c r="B953" s="8" t="s">
        <v>65</v>
      </c>
      <c r="C953" t="s">
        <v>25</v>
      </c>
    </row>
    <row r="954" spans="1:3" hidden="1">
      <c r="A954" s="8" t="s">
        <v>151</v>
      </c>
      <c r="B954" s="8" t="s">
        <v>485</v>
      </c>
    </row>
    <row r="955" spans="1:3">
      <c r="A955" s="8" t="s">
        <v>905</v>
      </c>
      <c r="B955" s="8" t="s">
        <v>65</v>
      </c>
      <c r="C955" t="s">
        <v>25</v>
      </c>
    </row>
    <row r="956" spans="1:3">
      <c r="A956" s="8" t="s">
        <v>906</v>
      </c>
      <c r="B956" s="8" t="s">
        <v>65</v>
      </c>
      <c r="C956" t="s">
        <v>25</v>
      </c>
    </row>
    <row r="957" spans="1:3" hidden="1">
      <c r="A957" s="8" t="s">
        <v>152</v>
      </c>
      <c r="B957" s="8" t="s">
        <v>22</v>
      </c>
    </row>
    <row r="958" spans="1:3">
      <c r="A958" s="8" t="s">
        <v>907</v>
      </c>
      <c r="B958" s="8" t="s">
        <v>65</v>
      </c>
      <c r="C958" t="s">
        <v>25</v>
      </c>
    </row>
    <row r="959" spans="1:3" hidden="1">
      <c r="A959" s="8" t="s">
        <v>482</v>
      </c>
      <c r="B959" s="8" t="s">
        <v>965</v>
      </c>
    </row>
    <row r="960" spans="1:3">
      <c r="A960" s="8" t="s">
        <v>908</v>
      </c>
      <c r="B960" s="8" t="s">
        <v>65</v>
      </c>
      <c r="C960" t="s">
        <v>25</v>
      </c>
    </row>
    <row r="961" spans="1:3">
      <c r="A961" s="8" t="s">
        <v>909</v>
      </c>
      <c r="B961" s="8" t="s">
        <v>65</v>
      </c>
      <c r="C961" t="s">
        <v>25</v>
      </c>
    </row>
    <row r="962" spans="1:3" hidden="1">
      <c r="A962" s="8" t="s">
        <v>37</v>
      </c>
      <c r="B962" s="8" t="s">
        <v>324</v>
      </c>
    </row>
    <row r="963" spans="1:3">
      <c r="A963" s="8" t="s">
        <v>927</v>
      </c>
      <c r="B963" s="8" t="s">
        <v>201</v>
      </c>
      <c r="C963" t="s">
        <v>41</v>
      </c>
    </row>
    <row r="964" spans="1:3" hidden="1">
      <c r="A964" s="8" t="s">
        <v>37</v>
      </c>
      <c r="B964" s="8"/>
    </row>
    <row r="965" spans="1:3" hidden="1">
      <c r="A965" s="8" t="s">
        <v>202</v>
      </c>
      <c r="B965" s="8"/>
    </row>
    <row r="966" spans="1:3" hidden="1">
      <c r="A966" s="8" t="s">
        <v>193</v>
      </c>
      <c r="B966" s="8"/>
    </row>
    <row r="967" spans="1:3" hidden="1">
      <c r="A967" s="8" t="s">
        <v>203</v>
      </c>
      <c r="B967" s="8"/>
    </row>
    <row r="968" spans="1:3">
      <c r="A968" t="s">
        <v>941</v>
      </c>
      <c r="B968" s="8" t="s">
        <v>201</v>
      </c>
      <c r="C968" t="s">
        <v>25</v>
      </c>
    </row>
    <row r="969" spans="1:3" hidden="1">
      <c r="A969" s="8" t="s">
        <v>37</v>
      </c>
      <c r="B969" s="8"/>
    </row>
    <row r="970" spans="1:3" hidden="1">
      <c r="A970" s="8" t="s">
        <v>37</v>
      </c>
      <c r="B970" s="8"/>
    </row>
    <row r="971" spans="1:3" hidden="1">
      <c r="A971" s="8" t="s">
        <v>965</v>
      </c>
      <c r="B971" s="8" t="s">
        <v>152</v>
      </c>
    </row>
    <row r="972" spans="1:3" hidden="1">
      <c r="A972" s="8" t="s">
        <v>35</v>
      </c>
      <c r="B972" s="8"/>
    </row>
    <row r="973" spans="1:3" hidden="1">
      <c r="A973" s="8" t="s">
        <v>60</v>
      </c>
      <c r="B973" s="8" t="s">
        <v>482</v>
      </c>
    </row>
    <row r="974" spans="1:3" hidden="1">
      <c r="A974" s="8" t="s">
        <v>192</v>
      </c>
      <c r="B974" s="8"/>
    </row>
    <row r="975" spans="1:3" hidden="1">
      <c r="A975" s="8" t="s">
        <v>484</v>
      </c>
      <c r="B975" s="8"/>
    </row>
    <row r="976" spans="1:3" hidden="1">
      <c r="A976" s="8" t="s">
        <v>18</v>
      </c>
      <c r="B976" s="8" t="s">
        <v>37</v>
      </c>
    </row>
    <row r="977" spans="1:3" hidden="1">
      <c r="A977" s="8" t="s">
        <v>485</v>
      </c>
      <c r="B977" s="8"/>
    </row>
    <row r="978" spans="1:3" hidden="1">
      <c r="A978" s="8" t="s">
        <v>152</v>
      </c>
      <c r="B978" s="8" t="s">
        <v>37</v>
      </c>
    </row>
    <row r="979" spans="1:3" hidden="1">
      <c r="A979" s="8" t="s">
        <v>22</v>
      </c>
      <c r="B979" s="8" t="s">
        <v>37</v>
      </c>
    </row>
    <row r="980" spans="1:3" hidden="1">
      <c r="A980" s="8" t="s">
        <v>37</v>
      </c>
      <c r="B980" s="8" t="s">
        <v>202</v>
      </c>
    </row>
    <row r="981" spans="1:3" hidden="1">
      <c r="A981" s="8" t="s">
        <v>26</v>
      </c>
      <c r="B981" s="8" t="s">
        <v>193</v>
      </c>
    </row>
    <row r="982" spans="1:3" hidden="1">
      <c r="A982" s="8" t="s">
        <v>161</v>
      </c>
      <c r="B982" s="8" t="s">
        <v>203</v>
      </c>
    </row>
    <row r="983" spans="1:3">
      <c r="A983" s="8" t="s">
        <v>1131</v>
      </c>
      <c r="B983" s="8" t="s">
        <v>25</v>
      </c>
      <c r="C983" t="s">
        <v>41</v>
      </c>
    </row>
    <row r="984" spans="1:3" hidden="1">
      <c r="A984" s="8" t="s">
        <v>1131</v>
      </c>
      <c r="B984" t="s">
        <v>941</v>
      </c>
    </row>
    <row r="985" spans="1:3" hidden="1">
      <c r="A985" s="8" t="s">
        <v>249</v>
      </c>
      <c r="B985" s="8" t="s">
        <v>37</v>
      </c>
    </row>
    <row r="986" spans="1:3" hidden="1">
      <c r="A986" s="8" t="s">
        <v>37</v>
      </c>
      <c r="B986" s="8" t="s">
        <v>37</v>
      </c>
    </row>
    <row r="987" spans="1:3" hidden="1">
      <c r="A987" s="8" t="s">
        <v>37</v>
      </c>
      <c r="B987" s="8" t="s">
        <v>965</v>
      </c>
    </row>
    <row r="988" spans="1:3" hidden="1">
      <c r="A988" s="8" t="s">
        <v>37</v>
      </c>
      <c r="B988" s="8" t="s">
        <v>35</v>
      </c>
    </row>
    <row r="989" spans="1:3" hidden="1">
      <c r="A989" s="8" t="s">
        <v>965</v>
      </c>
      <c r="B989" s="8" t="s">
        <v>60</v>
      </c>
    </row>
    <row r="990" spans="1:3" hidden="1">
      <c r="A990" s="8" t="s">
        <v>37</v>
      </c>
      <c r="B990" s="8" t="s">
        <v>192</v>
      </c>
    </row>
    <row r="991" spans="1:3" hidden="1">
      <c r="A991" s="8" t="s">
        <v>202</v>
      </c>
      <c r="B991" s="8" t="s">
        <v>484</v>
      </c>
    </row>
    <row r="992" spans="1:3" hidden="1">
      <c r="A992" s="8" t="s">
        <v>193</v>
      </c>
      <c r="B992" s="8" t="s">
        <v>18</v>
      </c>
    </row>
    <row r="993" spans="1:2" hidden="1">
      <c r="A993" s="8" t="s">
        <v>203</v>
      </c>
      <c r="B993" s="8" t="s">
        <v>485</v>
      </c>
    </row>
    <row r="994" spans="1:2" hidden="1">
      <c r="A994" s="8" t="s">
        <v>35</v>
      </c>
      <c r="B994" s="8" t="s">
        <v>152</v>
      </c>
    </row>
    <row r="995" spans="1:2" hidden="1">
      <c r="A995" s="8" t="s">
        <v>37</v>
      </c>
      <c r="B995" s="8" t="s">
        <v>22</v>
      </c>
    </row>
    <row r="996" spans="1:2" hidden="1">
      <c r="A996" s="8" t="s">
        <v>37</v>
      </c>
      <c r="B996" s="8" t="s">
        <v>37</v>
      </c>
    </row>
    <row r="997" spans="1:2" hidden="1">
      <c r="A997" s="8" t="s">
        <v>18</v>
      </c>
      <c r="B997" s="8" t="s">
        <v>26</v>
      </c>
    </row>
    <row r="998" spans="1:2" hidden="1">
      <c r="A998" s="8" t="s">
        <v>18</v>
      </c>
      <c r="B998" s="8" t="s">
        <v>161</v>
      </c>
    </row>
    <row r="999" spans="1:2" hidden="1">
      <c r="A999" s="8" t="s">
        <v>35</v>
      </c>
      <c r="B999" s="8" t="s">
        <v>249</v>
      </c>
    </row>
    <row r="1000" spans="1:2" hidden="1">
      <c r="A1000" s="8" t="s">
        <v>18</v>
      </c>
      <c r="B1000" s="8" t="s">
        <v>37</v>
      </c>
    </row>
    <row r="1001" spans="1:2" hidden="1">
      <c r="A1001" s="8" t="s">
        <v>37</v>
      </c>
      <c r="B1001" s="8" t="s">
        <v>37</v>
      </c>
    </row>
    <row r="1002" spans="1:2" hidden="1">
      <c r="A1002" s="8" t="s">
        <v>193</v>
      </c>
      <c r="B1002" s="8" t="s">
        <v>37</v>
      </c>
    </row>
    <row r="1003" spans="1:2" hidden="1">
      <c r="A1003" s="8" t="s">
        <v>37</v>
      </c>
      <c r="B1003" s="8" t="s">
        <v>965</v>
      </c>
    </row>
    <row r="1004" spans="1:2" hidden="1">
      <c r="A1004" s="8" t="s">
        <v>161</v>
      </c>
      <c r="B1004" s="8" t="s">
        <v>37</v>
      </c>
    </row>
    <row r="1005" spans="1:2" hidden="1">
      <c r="A1005" s="8" t="s">
        <v>222</v>
      </c>
      <c r="B1005" s="8" t="s">
        <v>202</v>
      </c>
    </row>
    <row r="1006" spans="1:2" hidden="1">
      <c r="A1006" s="8" t="s">
        <v>616</v>
      </c>
      <c r="B1006" s="8" t="s">
        <v>193</v>
      </c>
    </row>
    <row r="1007" spans="1:2" hidden="1">
      <c r="A1007" s="8" t="s">
        <v>26</v>
      </c>
      <c r="B1007" s="8" t="s">
        <v>203</v>
      </c>
    </row>
    <row r="1008" spans="1:2" hidden="1">
      <c r="A1008" s="8" t="s">
        <v>298</v>
      </c>
      <c r="B1008" s="8" t="s">
        <v>35</v>
      </c>
    </row>
    <row r="1009" spans="1:2" hidden="1">
      <c r="A1009" s="8" t="s">
        <v>611</v>
      </c>
      <c r="B1009" s="8" t="s">
        <v>37</v>
      </c>
    </row>
    <row r="1010" spans="1:2" hidden="1">
      <c r="A1010" s="8" t="s">
        <v>249</v>
      </c>
      <c r="B1010" s="8" t="s">
        <v>37</v>
      </c>
    </row>
    <row r="1011" spans="1:2" hidden="1">
      <c r="A1011" s="8" t="s">
        <v>154</v>
      </c>
      <c r="B1011" s="8" t="s">
        <v>18</v>
      </c>
    </row>
    <row r="1012" spans="1:2" hidden="1">
      <c r="A1012" s="8" t="s">
        <v>22</v>
      </c>
      <c r="B1012" s="8" t="s">
        <v>18</v>
      </c>
    </row>
    <row r="1013" spans="1:2" hidden="1">
      <c r="A1013" s="8" t="s">
        <v>223</v>
      </c>
      <c r="B1013" s="8" t="s">
        <v>35</v>
      </c>
    </row>
    <row r="1014" spans="1:2" hidden="1">
      <c r="A1014" s="8" t="s">
        <v>204</v>
      </c>
      <c r="B1014" s="8" t="s">
        <v>18</v>
      </c>
    </row>
    <row r="1015" spans="1:2" hidden="1">
      <c r="A1015" s="8" t="s">
        <v>612</v>
      </c>
      <c r="B1015" s="8" t="s">
        <v>37</v>
      </c>
    </row>
    <row r="1016" spans="1:2" hidden="1">
      <c r="A1016" s="8" t="s">
        <v>613</v>
      </c>
      <c r="B1016" s="8" t="s">
        <v>193</v>
      </c>
    </row>
    <row r="1017" spans="1:2" hidden="1">
      <c r="A1017" s="8" t="s">
        <v>679</v>
      </c>
      <c r="B1017" s="8" t="s">
        <v>37</v>
      </c>
    </row>
    <row r="1018" spans="1:2" hidden="1">
      <c r="A1018" s="8" t="s">
        <v>760</v>
      </c>
      <c r="B1018" s="8" t="s">
        <v>37</v>
      </c>
    </row>
    <row r="1019" spans="1:2" hidden="1">
      <c r="A1019" s="8" t="s">
        <v>203</v>
      </c>
      <c r="B1019" s="8" t="s">
        <v>161</v>
      </c>
    </row>
    <row r="1020" spans="1:2" hidden="1">
      <c r="A1020" s="8" t="s">
        <v>157</v>
      </c>
      <c r="B1020" s="8" t="s">
        <v>222</v>
      </c>
    </row>
    <row r="1021" spans="1:2" hidden="1">
      <c r="A1021" s="8" t="s">
        <v>482</v>
      </c>
      <c r="B1021" s="8" t="s">
        <v>616</v>
      </c>
    </row>
    <row r="1022" spans="1:2" hidden="1">
      <c r="A1022" s="8" t="s">
        <v>62</v>
      </c>
      <c r="B1022" s="8" t="s">
        <v>26</v>
      </c>
    </row>
    <row r="1023" spans="1:2" hidden="1">
      <c r="A1023" s="8" t="s">
        <v>155</v>
      </c>
      <c r="B1023" s="8" t="s">
        <v>298</v>
      </c>
    </row>
    <row r="1024" spans="1:2" hidden="1">
      <c r="A1024" s="8" t="s">
        <v>18</v>
      </c>
      <c r="B1024" s="8" t="s">
        <v>611</v>
      </c>
    </row>
    <row r="1025" spans="1:3" hidden="1">
      <c r="A1025" s="8" t="s">
        <v>331</v>
      </c>
      <c r="B1025" s="8" t="s">
        <v>249</v>
      </c>
    </row>
    <row r="1026" spans="1:3" hidden="1">
      <c r="A1026" s="8" t="s">
        <v>567</v>
      </c>
      <c r="B1026" s="8" t="s">
        <v>154</v>
      </c>
    </row>
    <row r="1027" spans="1:3" hidden="1">
      <c r="A1027" s="8" t="s">
        <v>615</v>
      </c>
      <c r="B1027" s="8" t="s">
        <v>22</v>
      </c>
    </row>
    <row r="1028" spans="1:3" hidden="1">
      <c r="A1028" s="8" t="s">
        <v>202</v>
      </c>
      <c r="B1028" s="8" t="s">
        <v>223</v>
      </c>
    </row>
    <row r="1029" spans="1:3" hidden="1">
      <c r="A1029" s="8" t="s">
        <v>193</v>
      </c>
      <c r="B1029" s="8" t="s">
        <v>204</v>
      </c>
    </row>
    <row r="1030" spans="1:3" hidden="1">
      <c r="A1030" s="8" t="s">
        <v>18</v>
      </c>
      <c r="B1030" s="8" t="s">
        <v>612</v>
      </c>
    </row>
    <row r="1031" spans="1:3">
      <c r="A1031" s="8" t="s">
        <v>609</v>
      </c>
      <c r="B1031" s="8" t="s">
        <v>41</v>
      </c>
      <c r="C1031" t="s">
        <v>41</v>
      </c>
    </row>
    <row r="1032" spans="1:3" hidden="1">
      <c r="A1032" s="8" t="s">
        <v>37</v>
      </c>
      <c r="B1032" s="8" t="s">
        <v>679</v>
      </c>
    </row>
    <row r="1033" spans="1:3" hidden="1">
      <c r="A1033" s="8" t="s">
        <v>37</v>
      </c>
      <c r="B1033" s="8" t="s">
        <v>760</v>
      </c>
    </row>
    <row r="1034" spans="1:3" hidden="1">
      <c r="A1034" s="8" t="s">
        <v>37</v>
      </c>
      <c r="B1034" s="8" t="s">
        <v>203</v>
      </c>
    </row>
    <row r="1035" spans="1:3" hidden="1">
      <c r="A1035" s="8" t="s">
        <v>203</v>
      </c>
      <c r="B1035" s="8" t="s">
        <v>157</v>
      </c>
    </row>
    <row r="1036" spans="1:3" hidden="1">
      <c r="A1036" s="8" t="s">
        <v>202</v>
      </c>
      <c r="B1036" s="8" t="s">
        <v>482</v>
      </c>
    </row>
    <row r="1037" spans="1:3" hidden="1">
      <c r="A1037" s="8" t="s">
        <v>193</v>
      </c>
      <c r="B1037" s="8" t="s">
        <v>62</v>
      </c>
    </row>
    <row r="1038" spans="1:3" hidden="1">
      <c r="A1038" s="8" t="s">
        <v>37</v>
      </c>
      <c r="B1038" s="8" t="s">
        <v>155</v>
      </c>
    </row>
    <row r="1039" spans="1:3" hidden="1">
      <c r="A1039" s="8" t="s">
        <v>222</v>
      </c>
      <c r="B1039" s="8" t="s">
        <v>18</v>
      </c>
    </row>
    <row r="1040" spans="1:3" hidden="1">
      <c r="A1040" s="8" t="s">
        <v>223</v>
      </c>
      <c r="B1040" s="8" t="s">
        <v>331</v>
      </c>
    </row>
    <row r="1041" spans="1:3" hidden="1">
      <c r="A1041" s="8" t="s">
        <v>203</v>
      </c>
      <c r="B1041" s="8" t="s">
        <v>567</v>
      </c>
    </row>
    <row r="1042" spans="1:3" hidden="1">
      <c r="A1042" s="8" t="s">
        <v>155</v>
      </c>
      <c r="B1042" s="8" t="s">
        <v>615</v>
      </c>
    </row>
    <row r="1043" spans="1:3" hidden="1">
      <c r="A1043" s="8" t="s">
        <v>567</v>
      </c>
      <c r="B1043" s="8" t="s">
        <v>202</v>
      </c>
    </row>
    <row r="1044" spans="1:3" hidden="1">
      <c r="A1044" s="8" t="s">
        <v>615</v>
      </c>
      <c r="B1044" s="8" t="s">
        <v>193</v>
      </c>
    </row>
    <row r="1045" spans="1:3" hidden="1">
      <c r="A1045" s="8" t="s">
        <v>202</v>
      </c>
      <c r="B1045" s="8" t="s">
        <v>37</v>
      </c>
    </row>
    <row r="1046" spans="1:3" hidden="1">
      <c r="A1046" s="8" t="s">
        <v>193</v>
      </c>
      <c r="B1046" s="8" t="s">
        <v>18</v>
      </c>
    </row>
    <row r="1047" spans="1:3" hidden="1">
      <c r="A1047" s="8" t="s">
        <v>161</v>
      </c>
      <c r="B1047" s="8" t="s">
        <v>609</v>
      </c>
    </row>
    <row r="1048" spans="1:3" hidden="1">
      <c r="A1048" s="8" t="s">
        <v>37</v>
      </c>
      <c r="B1048" s="8" t="s">
        <v>37</v>
      </c>
    </row>
    <row r="1049" spans="1:3" hidden="1">
      <c r="A1049" s="8" t="s">
        <v>37</v>
      </c>
      <c r="B1049" s="8" t="s">
        <v>37</v>
      </c>
    </row>
    <row r="1050" spans="1:3" hidden="1">
      <c r="A1050" s="8" t="s">
        <v>37</v>
      </c>
      <c r="B1050" s="8" t="s">
        <v>37</v>
      </c>
    </row>
    <row r="1051" spans="1:3" hidden="1">
      <c r="A1051" s="8" t="s">
        <v>26</v>
      </c>
      <c r="B1051" s="8" t="s">
        <v>203</v>
      </c>
    </row>
    <row r="1052" spans="1:3">
      <c r="A1052" s="8" t="s">
        <v>973</v>
      </c>
      <c r="B1052" s="8" t="s">
        <v>201</v>
      </c>
      <c r="C1052" t="s">
        <v>25</v>
      </c>
    </row>
    <row r="1053" spans="1:3" hidden="1">
      <c r="A1053" s="8" t="s">
        <v>37</v>
      </c>
      <c r="B1053" s="8" t="s">
        <v>193</v>
      </c>
    </row>
    <row r="1054" spans="1:3" hidden="1">
      <c r="A1054" s="8" t="s">
        <v>37</v>
      </c>
      <c r="B1054" s="8" t="s">
        <v>37</v>
      </c>
    </row>
    <row r="1055" spans="1:3" hidden="1">
      <c r="A1055" s="8" t="s">
        <v>37</v>
      </c>
      <c r="B1055" s="8" t="s">
        <v>26</v>
      </c>
    </row>
    <row r="1056" spans="1:3" hidden="1">
      <c r="A1056" s="8" t="s">
        <v>1131</v>
      </c>
      <c r="B1056" s="8" t="s">
        <v>37</v>
      </c>
    </row>
    <row r="1057" spans="1:3" hidden="1">
      <c r="A1057" s="8" t="s">
        <v>35</v>
      </c>
      <c r="B1057" s="8" t="s">
        <v>222</v>
      </c>
    </row>
    <row r="1058" spans="1:3" hidden="1">
      <c r="A1058" s="8" t="s">
        <v>37</v>
      </c>
      <c r="B1058" s="8" t="s">
        <v>223</v>
      </c>
    </row>
    <row r="1059" spans="1:3" hidden="1">
      <c r="A1059" s="8" t="s">
        <v>37</v>
      </c>
      <c r="B1059" s="8" t="s">
        <v>203</v>
      </c>
    </row>
    <row r="1060" spans="1:3" hidden="1">
      <c r="A1060" s="8" t="s">
        <v>37</v>
      </c>
      <c r="B1060" s="8" t="s">
        <v>155</v>
      </c>
    </row>
    <row r="1061" spans="1:3" hidden="1">
      <c r="A1061" s="8" t="s">
        <v>26</v>
      </c>
      <c r="B1061" s="8" t="s">
        <v>567</v>
      </c>
    </row>
    <row r="1062" spans="1:3" hidden="1">
      <c r="A1062" s="8" t="s">
        <v>35</v>
      </c>
      <c r="B1062" s="8" t="s">
        <v>615</v>
      </c>
    </row>
    <row r="1063" spans="1:3" hidden="1">
      <c r="A1063" s="8" t="s">
        <v>1131</v>
      </c>
      <c r="B1063" s="8" t="s">
        <v>202</v>
      </c>
    </row>
    <row r="1064" spans="1:3" hidden="1">
      <c r="A1064" s="8" t="s">
        <v>35</v>
      </c>
      <c r="B1064" s="8" t="s">
        <v>193</v>
      </c>
    </row>
    <row r="1065" spans="1:3" hidden="1">
      <c r="A1065" s="8" t="s">
        <v>37</v>
      </c>
      <c r="B1065" s="8" t="s">
        <v>161</v>
      </c>
    </row>
    <row r="1066" spans="1:3" hidden="1">
      <c r="A1066" s="8" t="s">
        <v>60</v>
      </c>
      <c r="B1066" s="8" t="s">
        <v>37</v>
      </c>
    </row>
    <row r="1067" spans="1:3" hidden="1">
      <c r="A1067" s="8" t="s">
        <v>37</v>
      </c>
      <c r="B1067" s="8" t="s">
        <v>37</v>
      </c>
    </row>
    <row r="1068" spans="1:3" hidden="1">
      <c r="A1068" s="8" t="s">
        <v>223</v>
      </c>
      <c r="B1068" s="8" t="s">
        <v>37</v>
      </c>
    </row>
    <row r="1069" spans="1:3" hidden="1">
      <c r="A1069" s="8" t="s">
        <v>26</v>
      </c>
      <c r="B1069" s="8" t="s">
        <v>26</v>
      </c>
    </row>
    <row r="1070" spans="1:3" hidden="1">
      <c r="A1070" s="8" t="s">
        <v>35</v>
      </c>
      <c r="B1070" s="8" t="s">
        <v>37</v>
      </c>
    </row>
    <row r="1071" spans="1:3">
      <c r="A1071" s="8" t="s">
        <v>1006</v>
      </c>
      <c r="B1071" s="8" t="s">
        <v>25</v>
      </c>
      <c r="C1071" t="s">
        <v>25</v>
      </c>
    </row>
    <row r="1072" spans="1:3" hidden="1">
      <c r="A1072" s="8" t="s">
        <v>37</v>
      </c>
      <c r="B1072" s="8" t="s">
        <v>37</v>
      </c>
    </row>
    <row r="1073" spans="1:3" hidden="1">
      <c r="A1073" s="8" t="s">
        <v>37</v>
      </c>
      <c r="B1073" s="8" t="s">
        <v>37</v>
      </c>
    </row>
    <row r="1074" spans="1:3" hidden="1">
      <c r="A1074" s="8" t="s">
        <v>965</v>
      </c>
      <c r="B1074" s="8" t="s">
        <v>37</v>
      </c>
    </row>
    <row r="1075" spans="1:3" hidden="1">
      <c r="A1075" s="8" t="s">
        <v>210</v>
      </c>
      <c r="B1075" s="8" t="s">
        <v>35</v>
      </c>
    </row>
    <row r="1076" spans="1:3" hidden="1">
      <c r="A1076" s="8" t="s">
        <v>37</v>
      </c>
      <c r="B1076" s="8" t="s">
        <v>37</v>
      </c>
    </row>
    <row r="1077" spans="1:3" hidden="1">
      <c r="A1077" s="8" t="s">
        <v>153</v>
      </c>
      <c r="B1077" s="8" t="s">
        <v>35</v>
      </c>
    </row>
    <row r="1078" spans="1:3" hidden="1">
      <c r="A1078" s="8" t="s">
        <v>37</v>
      </c>
      <c r="B1078" s="8" t="s">
        <v>37</v>
      </c>
    </row>
    <row r="1079" spans="1:3" hidden="1">
      <c r="A1079" s="8" t="s">
        <v>1131</v>
      </c>
      <c r="B1079" s="8" t="s">
        <v>37</v>
      </c>
    </row>
    <row r="1080" spans="1:3">
      <c r="A1080" s="8" t="s">
        <v>1025</v>
      </c>
      <c r="B1080" s="8" t="s">
        <v>65</v>
      </c>
      <c r="C1080" t="s">
        <v>41</v>
      </c>
    </row>
    <row r="1081" spans="1:3" hidden="1">
      <c r="A1081" s="8" t="s">
        <v>37</v>
      </c>
      <c r="B1081" s="8" t="s">
        <v>26</v>
      </c>
    </row>
    <row r="1082" spans="1:3" hidden="1">
      <c r="A1082" s="8" t="s">
        <v>152</v>
      </c>
      <c r="B1082" s="8" t="s">
        <v>35</v>
      </c>
    </row>
    <row r="1083" spans="1:3" hidden="1">
      <c r="A1083" s="8" t="s">
        <v>37</v>
      </c>
      <c r="B1083" s="8" t="s">
        <v>35</v>
      </c>
    </row>
    <row r="1084" spans="1:3" hidden="1">
      <c r="A1084" s="8" t="s">
        <v>35</v>
      </c>
      <c r="B1084" s="8" t="s">
        <v>37</v>
      </c>
    </row>
    <row r="1085" spans="1:3" hidden="1">
      <c r="A1085" s="8" t="s">
        <v>37</v>
      </c>
      <c r="B1085" s="8" t="s">
        <v>60</v>
      </c>
    </row>
    <row r="1086" spans="1:3" hidden="1">
      <c r="A1086" s="8" t="s">
        <v>37</v>
      </c>
      <c r="B1086" s="8" t="s">
        <v>37</v>
      </c>
    </row>
    <row r="1087" spans="1:3" hidden="1">
      <c r="A1087" s="8" t="s">
        <v>35</v>
      </c>
      <c r="B1087" s="8" t="s">
        <v>223</v>
      </c>
    </row>
    <row r="1088" spans="1:3" hidden="1">
      <c r="A1088" s="8" t="s">
        <v>202</v>
      </c>
      <c r="B1088" s="8" t="s">
        <v>26</v>
      </c>
    </row>
    <row r="1089" spans="1:3" hidden="1">
      <c r="A1089" s="8" t="s">
        <v>193</v>
      </c>
      <c r="B1089" s="8" t="s">
        <v>35</v>
      </c>
    </row>
    <row r="1090" spans="1:3" hidden="1">
      <c r="A1090" s="8" t="s">
        <v>203</v>
      </c>
      <c r="B1090" s="8"/>
    </row>
    <row r="1091" spans="1:3" hidden="1">
      <c r="A1091" s="8" t="s">
        <v>37</v>
      </c>
      <c r="B1091" s="8" t="s">
        <v>37</v>
      </c>
    </row>
    <row r="1092" spans="1:3" hidden="1">
      <c r="A1092" s="8" t="s">
        <v>35</v>
      </c>
      <c r="B1092" s="8" t="s">
        <v>37</v>
      </c>
    </row>
    <row r="1093" spans="1:3" hidden="1">
      <c r="A1093" s="8" t="s">
        <v>1131</v>
      </c>
      <c r="B1093" s="8" t="s">
        <v>965</v>
      </c>
    </row>
    <row r="1094" spans="1:3" hidden="1">
      <c r="A1094" s="8" t="s">
        <v>26</v>
      </c>
      <c r="B1094" s="8" t="s">
        <v>210</v>
      </c>
    </row>
    <row r="1095" spans="1:3" hidden="1">
      <c r="A1095" s="8" t="s">
        <v>26</v>
      </c>
      <c r="B1095" s="8" t="s">
        <v>37</v>
      </c>
    </row>
    <row r="1096" spans="1:3" hidden="1">
      <c r="A1096" s="8" t="s">
        <v>37</v>
      </c>
      <c r="B1096" s="8" t="s">
        <v>153</v>
      </c>
    </row>
    <row r="1097" spans="1:3" hidden="1">
      <c r="A1097" s="8" t="s">
        <v>1131</v>
      </c>
      <c r="B1097" s="8" t="s">
        <v>37</v>
      </c>
    </row>
    <row r="1098" spans="1:3" hidden="1">
      <c r="A1098" s="8" t="s">
        <v>35</v>
      </c>
      <c r="B1098" s="8" t="s">
        <v>35</v>
      </c>
    </row>
    <row r="1099" spans="1:3">
      <c r="A1099" s="8" t="s">
        <v>1054</v>
      </c>
      <c r="B1099" s="8" t="s">
        <v>41</v>
      </c>
      <c r="C1099" t="s">
        <v>25</v>
      </c>
    </row>
    <row r="1100" spans="1:3" hidden="1">
      <c r="A1100" s="8" t="s">
        <v>37</v>
      </c>
      <c r="B1100" s="8" t="s">
        <v>37</v>
      </c>
    </row>
    <row r="1101" spans="1:3" hidden="1">
      <c r="A1101" s="8" t="s">
        <v>35</v>
      </c>
      <c r="B1101" s="8" t="s">
        <v>152</v>
      </c>
    </row>
    <row r="1102" spans="1:3" hidden="1">
      <c r="A1102" s="8" t="s">
        <v>60</v>
      </c>
      <c r="B1102" s="8" t="s">
        <v>37</v>
      </c>
    </row>
    <row r="1103" spans="1:3" hidden="1">
      <c r="A1103" s="8" t="s">
        <v>37</v>
      </c>
      <c r="B1103" s="8" t="s">
        <v>35</v>
      </c>
    </row>
    <row r="1104" spans="1:3" hidden="1">
      <c r="A1104" s="8" t="s">
        <v>965</v>
      </c>
      <c r="B1104" s="8" t="s">
        <v>37</v>
      </c>
    </row>
    <row r="1105" spans="1:2" hidden="1">
      <c r="A1105" s="8" t="s">
        <v>35</v>
      </c>
      <c r="B1105" s="8" t="s">
        <v>37</v>
      </c>
    </row>
    <row r="1106" spans="1:2" hidden="1">
      <c r="A1106" s="8" t="s">
        <v>35</v>
      </c>
      <c r="B1106" s="8" t="s">
        <v>37</v>
      </c>
    </row>
    <row r="1107" spans="1:2" hidden="1">
      <c r="A1107" s="8" t="s">
        <v>484</v>
      </c>
      <c r="B1107" s="8" t="s">
        <v>35</v>
      </c>
    </row>
    <row r="1108" spans="1:2" hidden="1">
      <c r="A1108" s="8" t="s">
        <v>22</v>
      </c>
      <c r="B1108" s="8" t="s">
        <v>202</v>
      </c>
    </row>
    <row r="1109" spans="1:2" hidden="1">
      <c r="A1109" s="8" t="s">
        <v>152</v>
      </c>
      <c r="B1109" s="8" t="s">
        <v>193</v>
      </c>
    </row>
    <row r="1110" spans="1:2" hidden="1">
      <c r="A1110" s="8" t="s">
        <v>203</v>
      </c>
      <c r="B1110" s="8" t="s">
        <v>203</v>
      </c>
    </row>
    <row r="1111" spans="1:2" hidden="1">
      <c r="A1111" s="8" t="s">
        <v>60</v>
      </c>
      <c r="B1111" s="8" t="s">
        <v>37</v>
      </c>
    </row>
    <row r="1112" spans="1:2" hidden="1">
      <c r="A1112" s="8" t="s">
        <v>192</v>
      </c>
      <c r="B1112" s="8" t="s">
        <v>35</v>
      </c>
    </row>
    <row r="1113" spans="1:2" hidden="1">
      <c r="A1113" s="8" t="s">
        <v>37</v>
      </c>
      <c r="B1113" s="8" t="s">
        <v>26</v>
      </c>
    </row>
    <row r="1114" spans="1:2" hidden="1">
      <c r="A1114" s="8" t="s">
        <v>37</v>
      </c>
      <c r="B1114" s="8" t="s">
        <v>26</v>
      </c>
    </row>
    <row r="1115" spans="1:2" hidden="1">
      <c r="A1115" s="8" t="s">
        <v>60</v>
      </c>
      <c r="B1115" s="8" t="s">
        <v>37</v>
      </c>
    </row>
    <row r="1116" spans="1:2" hidden="1">
      <c r="A1116" s="8" t="s">
        <v>35</v>
      </c>
      <c r="B1116" s="8" t="s">
        <v>35</v>
      </c>
    </row>
    <row r="1117" spans="1:2" hidden="1">
      <c r="A1117" s="8" t="s">
        <v>26</v>
      </c>
      <c r="B1117" s="8"/>
    </row>
    <row r="1118" spans="1:2" hidden="1">
      <c r="A1118" s="8" t="s">
        <v>37</v>
      </c>
      <c r="B1118" s="8" t="s">
        <v>37</v>
      </c>
    </row>
    <row r="1119" spans="1:2" hidden="1">
      <c r="A1119" s="8" t="s">
        <v>37</v>
      </c>
      <c r="B1119" s="8" t="s">
        <v>35</v>
      </c>
    </row>
    <row r="1120" spans="1:2" hidden="1">
      <c r="A1120" s="8" t="s">
        <v>37</v>
      </c>
      <c r="B1120" s="8" t="s">
        <v>60</v>
      </c>
    </row>
    <row r="1121" spans="1:2" hidden="1">
      <c r="A1121" s="8" t="s">
        <v>26</v>
      </c>
      <c r="B1121" s="8" t="s">
        <v>37</v>
      </c>
    </row>
    <row r="1122" spans="1:2" hidden="1">
      <c r="A1122" s="8" t="s">
        <v>37</v>
      </c>
      <c r="B1122" s="8" t="s">
        <v>965</v>
      </c>
    </row>
    <row r="1123" spans="1:2" hidden="1">
      <c r="A1123" s="8" t="s">
        <v>35</v>
      </c>
      <c r="B1123" s="8" t="s">
        <v>35</v>
      </c>
    </row>
    <row r="1124" spans="1:2" hidden="1">
      <c r="A1124" s="8" t="s">
        <v>26</v>
      </c>
      <c r="B1124" s="8" t="s">
        <v>35</v>
      </c>
    </row>
    <row r="1125" spans="1:2" hidden="1">
      <c r="A1125" s="8" t="s">
        <v>222</v>
      </c>
      <c r="B1125" s="8" t="s">
        <v>484</v>
      </c>
    </row>
    <row r="1126" spans="1:2" hidden="1">
      <c r="A1126" s="8" t="s">
        <v>223</v>
      </c>
      <c r="B1126" s="8" t="s">
        <v>22</v>
      </c>
    </row>
    <row r="1127" spans="1:2" hidden="1">
      <c r="A1127" s="8" t="s">
        <v>203</v>
      </c>
      <c r="B1127" s="8" t="s">
        <v>152</v>
      </c>
    </row>
    <row r="1128" spans="1:2" hidden="1">
      <c r="A1128" s="8" t="s">
        <v>202</v>
      </c>
      <c r="B1128" s="8" t="s">
        <v>203</v>
      </c>
    </row>
    <row r="1129" spans="1:2" hidden="1">
      <c r="A1129" s="8" t="s">
        <v>193</v>
      </c>
      <c r="B1129" s="8" t="s">
        <v>60</v>
      </c>
    </row>
    <row r="1130" spans="1:2" hidden="1">
      <c r="A1130" s="8" t="s">
        <v>161</v>
      </c>
      <c r="B1130" s="8" t="s">
        <v>192</v>
      </c>
    </row>
    <row r="1131" spans="1:2" hidden="1">
      <c r="A1131" s="8" t="s">
        <v>37</v>
      </c>
      <c r="B1131" s="8" t="s">
        <v>37</v>
      </c>
    </row>
    <row r="1132" spans="1:2" hidden="1">
      <c r="A1132" s="8" t="s">
        <v>223</v>
      </c>
      <c r="B1132" s="8" t="s">
        <v>37</v>
      </c>
    </row>
    <row r="1133" spans="1:2" hidden="1">
      <c r="A1133" s="8" t="s">
        <v>37</v>
      </c>
      <c r="B1133" s="8" t="s">
        <v>37</v>
      </c>
    </row>
    <row r="1134" spans="1:2" hidden="1">
      <c r="A1134" s="8" t="s">
        <v>26</v>
      </c>
      <c r="B1134" s="8" t="s">
        <v>26</v>
      </c>
    </row>
    <row r="1135" spans="1:2" hidden="1">
      <c r="A1135" s="8" t="s">
        <v>35</v>
      </c>
      <c r="B1135" s="8" t="s">
        <v>37</v>
      </c>
    </row>
    <row r="1136" spans="1:2" hidden="1">
      <c r="A1136" s="8" t="s">
        <v>37</v>
      </c>
      <c r="B1136" s="8" t="s">
        <v>35</v>
      </c>
    </row>
    <row r="1137" spans="1:3">
      <c r="A1137" s="8" t="s">
        <v>846</v>
      </c>
      <c r="B1137" s="8" t="s">
        <v>201</v>
      </c>
      <c r="C1137" t="s">
        <v>41</v>
      </c>
    </row>
    <row r="1138" spans="1:3" hidden="1">
      <c r="A1138" s="8" t="s">
        <v>37</v>
      </c>
      <c r="B1138" s="8" t="s">
        <v>222</v>
      </c>
    </row>
    <row r="1139" spans="1:3" hidden="1">
      <c r="A1139" s="8" t="s">
        <v>35</v>
      </c>
      <c r="B1139" s="8" t="s">
        <v>223</v>
      </c>
    </row>
    <row r="1140" spans="1:3" hidden="1">
      <c r="A1140" s="8" t="s">
        <v>26</v>
      </c>
      <c r="B1140" s="8" t="s">
        <v>203</v>
      </c>
    </row>
    <row r="1141" spans="1:3" hidden="1">
      <c r="A1141" s="8" t="s">
        <v>193</v>
      </c>
      <c r="B1141" s="8" t="s">
        <v>202</v>
      </c>
    </row>
    <row r="1142" spans="1:3" hidden="1">
      <c r="A1142" s="8" t="s">
        <v>202</v>
      </c>
      <c r="B1142" s="8" t="s">
        <v>193</v>
      </c>
    </row>
    <row r="1143" spans="1:3" hidden="1">
      <c r="A1143" s="8" t="s">
        <v>615</v>
      </c>
      <c r="B1143" s="8" t="s">
        <v>161</v>
      </c>
    </row>
    <row r="1144" spans="1:3" hidden="1">
      <c r="A1144" s="8" t="s">
        <v>155</v>
      </c>
      <c r="B1144" s="8" t="s">
        <v>37</v>
      </c>
    </row>
    <row r="1145" spans="1:3" hidden="1">
      <c r="A1145" s="8" t="s">
        <v>203</v>
      </c>
      <c r="B1145" s="8" t="s">
        <v>37</v>
      </c>
    </row>
    <row r="1146" spans="1:3" hidden="1">
      <c r="A1146" s="8" t="s">
        <v>1025</v>
      </c>
      <c r="B1146" s="8" t="s">
        <v>609</v>
      </c>
    </row>
    <row r="1147" spans="1:3" hidden="1">
      <c r="A1147" s="8" t="s">
        <v>37</v>
      </c>
      <c r="B1147" s="8" t="s">
        <v>37</v>
      </c>
    </row>
    <row r="1148" spans="1:3" hidden="1">
      <c r="A1148" s="8" t="s">
        <v>37</v>
      </c>
      <c r="B1148" s="8" t="s">
        <v>223</v>
      </c>
    </row>
    <row r="1149" spans="1:3" hidden="1">
      <c r="A1149" s="8" t="s">
        <v>203</v>
      </c>
      <c r="B1149" s="8" t="s">
        <v>37</v>
      </c>
    </row>
    <row r="1150" spans="1:3" hidden="1">
      <c r="A1150" s="8" t="s">
        <v>223</v>
      </c>
      <c r="B1150" s="8" t="s">
        <v>26</v>
      </c>
    </row>
    <row r="1151" spans="1:3" hidden="1">
      <c r="A1151" s="8" t="s">
        <v>567</v>
      </c>
      <c r="B1151" s="8" t="s">
        <v>35</v>
      </c>
    </row>
    <row r="1152" spans="1:3" hidden="1">
      <c r="A1152" s="8" t="s">
        <v>760</v>
      </c>
      <c r="B1152" s="8" t="s">
        <v>37</v>
      </c>
    </row>
    <row r="1153" spans="1:2" hidden="1">
      <c r="A1153" s="8" t="s">
        <v>611</v>
      </c>
      <c r="B1153" s="8"/>
    </row>
    <row r="1154" spans="1:2" hidden="1">
      <c r="A1154" s="8" t="s">
        <v>37</v>
      </c>
      <c r="B1154" s="8" t="s">
        <v>37</v>
      </c>
    </row>
    <row r="1155" spans="1:2" hidden="1">
      <c r="A1155" s="8" t="s">
        <v>192</v>
      </c>
      <c r="B1155" s="8" t="s">
        <v>35</v>
      </c>
    </row>
    <row r="1156" spans="1:2" hidden="1">
      <c r="A1156" s="8" t="s">
        <v>37</v>
      </c>
      <c r="B1156" s="8" t="s">
        <v>26</v>
      </c>
    </row>
    <row r="1157" spans="1:2" hidden="1">
      <c r="A1157" s="8" t="s">
        <v>26</v>
      </c>
      <c r="B1157" s="8" t="s">
        <v>193</v>
      </c>
    </row>
    <row r="1158" spans="1:2" hidden="1">
      <c r="A1158" s="8" t="s">
        <v>1131</v>
      </c>
      <c r="B1158" s="8" t="s">
        <v>202</v>
      </c>
    </row>
    <row r="1159" spans="1:2" hidden="1">
      <c r="A1159" s="8" t="s">
        <v>35</v>
      </c>
      <c r="B1159" s="8" t="s">
        <v>615</v>
      </c>
    </row>
    <row r="1160" spans="1:2" hidden="1">
      <c r="A1160" s="8" t="s">
        <v>37</v>
      </c>
      <c r="B1160" s="8" t="s">
        <v>155</v>
      </c>
    </row>
    <row r="1161" spans="1:2" hidden="1">
      <c r="A1161" s="8" t="s">
        <v>37</v>
      </c>
      <c r="B1161" s="8" t="s">
        <v>203</v>
      </c>
    </row>
    <row r="1162" spans="1:2" hidden="1">
      <c r="A1162" s="8" t="s">
        <v>37</v>
      </c>
      <c r="B1162" s="8" t="s">
        <v>852</v>
      </c>
    </row>
    <row r="1163" spans="1:2" hidden="1">
      <c r="A1163" s="8" t="s">
        <v>26</v>
      </c>
      <c r="B1163" s="8" t="s">
        <v>37</v>
      </c>
    </row>
    <row r="1164" spans="1:2" hidden="1">
      <c r="A1164" s="8" t="s">
        <v>35</v>
      </c>
      <c r="B1164" s="8" t="s">
        <v>35</v>
      </c>
    </row>
    <row r="1165" spans="1:2" hidden="1">
      <c r="A1165" s="8" t="s">
        <v>1006</v>
      </c>
      <c r="B1165" s="8" t="s">
        <v>37</v>
      </c>
    </row>
    <row r="1166" spans="1:2" hidden="1">
      <c r="A1166" s="8" t="s">
        <v>161</v>
      </c>
      <c r="B1166" s="8"/>
    </row>
    <row r="1167" spans="1:2" hidden="1">
      <c r="A1167" s="8" t="s">
        <v>203</v>
      </c>
    </row>
    <row r="1168" spans="1:2" hidden="1">
      <c r="A1168" s="8" t="s">
        <v>202</v>
      </c>
    </row>
    <row r="1169" spans="1:1" hidden="1">
      <c r="A1169" s="8" t="s">
        <v>193</v>
      </c>
    </row>
    <row r="1170" spans="1:1" hidden="1">
      <c r="A1170" s="8" t="s">
        <v>37</v>
      </c>
    </row>
    <row r="1171" spans="1:1" hidden="1">
      <c r="A1171" s="8" t="s">
        <v>37</v>
      </c>
    </row>
    <row r="1172" spans="1:1" hidden="1">
      <c r="A1172" s="8" t="s">
        <v>26</v>
      </c>
    </row>
    <row r="1173" spans="1:1" hidden="1">
      <c r="A1173" s="8" t="s">
        <v>35</v>
      </c>
    </row>
    <row r="1174" spans="1:1" hidden="1">
      <c r="A1174" s="8" t="s">
        <v>1006</v>
      </c>
    </row>
    <row r="1175" spans="1:1" hidden="1">
      <c r="A1175" s="8" t="s">
        <v>161</v>
      </c>
    </row>
    <row r="1176" spans="1:1" hidden="1">
      <c r="A1176" s="8" t="s">
        <v>203</v>
      </c>
    </row>
    <row r="1177" spans="1:1" hidden="1">
      <c r="A1177" s="8" t="s">
        <v>202</v>
      </c>
    </row>
    <row r="1178" spans="1:1" hidden="1">
      <c r="A1178" s="8" t="s">
        <v>193</v>
      </c>
    </row>
    <row r="1179" spans="1:1" hidden="1">
      <c r="A1179" s="8" t="s">
        <v>37</v>
      </c>
    </row>
    <row r="1180" spans="1:1" hidden="1">
      <c r="A1180" s="8" t="s">
        <v>37</v>
      </c>
    </row>
    <row r="1181" spans="1:1" hidden="1">
      <c r="A1181" s="8" t="s">
        <v>37</v>
      </c>
    </row>
    <row r="1182" spans="1:1" hidden="1">
      <c r="A1182" s="8" t="s">
        <v>37</v>
      </c>
    </row>
    <row r="1183" spans="1:1" hidden="1">
      <c r="A1183" s="8" t="s">
        <v>37</v>
      </c>
    </row>
    <row r="1184" spans="1:1" hidden="1">
      <c r="A1184" s="8" t="s">
        <v>37</v>
      </c>
    </row>
    <row r="1185" spans="1:1" hidden="1">
      <c r="A1185" s="8" t="s">
        <v>37</v>
      </c>
    </row>
    <row r="1186" spans="1:1" hidden="1">
      <c r="A1186" s="8" t="s">
        <v>1131</v>
      </c>
    </row>
    <row r="1187" spans="1:1" hidden="1">
      <c r="A1187" s="8" t="s">
        <v>22</v>
      </c>
    </row>
    <row r="1188" spans="1:1" hidden="1">
      <c r="A1188" s="8" t="s">
        <v>484</v>
      </c>
    </row>
    <row r="1189" spans="1:1" hidden="1">
      <c r="A1189" s="8" t="s">
        <v>152</v>
      </c>
    </row>
    <row r="1190" spans="1:1" hidden="1">
      <c r="A1190" s="8" t="s">
        <v>485</v>
      </c>
    </row>
    <row r="1191" spans="1:1" hidden="1">
      <c r="A1191" s="8" t="s">
        <v>60</v>
      </c>
    </row>
    <row r="1192" spans="1:1" hidden="1">
      <c r="A1192" s="8" t="s">
        <v>26</v>
      </c>
    </row>
    <row r="1193" spans="1:1" hidden="1">
      <c r="A1193" s="8" t="s">
        <v>35</v>
      </c>
    </row>
    <row r="1194" spans="1:1" hidden="1">
      <c r="A1194" s="8" t="s">
        <v>249</v>
      </c>
    </row>
    <row r="1195" spans="1:1" hidden="1">
      <c r="A1195" s="8" t="s">
        <v>203</v>
      </c>
    </row>
    <row r="1196" spans="1:1" hidden="1">
      <c r="A1196" s="8" t="s">
        <v>202</v>
      </c>
    </row>
    <row r="1197" spans="1:1" hidden="1">
      <c r="A1197" s="8" t="s">
        <v>193</v>
      </c>
    </row>
    <row r="1198" spans="1:1" hidden="1">
      <c r="A1198" s="8" t="s">
        <v>161</v>
      </c>
    </row>
    <row r="1199" spans="1:1" hidden="1">
      <c r="A1199" s="8" t="s">
        <v>37</v>
      </c>
    </row>
    <row r="1200" spans="1:1" hidden="1">
      <c r="A1200" s="8" t="s">
        <v>386</v>
      </c>
    </row>
    <row r="1201" spans="1:1" hidden="1">
      <c r="A1201" s="8" t="s">
        <v>35</v>
      </c>
    </row>
    <row r="1202" spans="1:1" hidden="1">
      <c r="A1202" s="8" t="s">
        <v>671</v>
      </c>
    </row>
    <row r="1203" spans="1:1" hidden="1">
      <c r="A1203" s="8" t="s">
        <v>37</v>
      </c>
    </row>
    <row r="1204" spans="1:1" hidden="1">
      <c r="A1204" s="8" t="s">
        <v>26</v>
      </c>
    </row>
    <row r="1205" spans="1:1" hidden="1">
      <c r="A1205" s="8" t="s">
        <v>37</v>
      </c>
    </row>
    <row r="1206" spans="1:1" hidden="1">
      <c r="A1206" s="8" t="s">
        <v>26</v>
      </c>
    </row>
    <row r="1207" spans="1:1" hidden="1">
      <c r="A1207" s="8" t="s">
        <v>35</v>
      </c>
    </row>
    <row r="1208" spans="1:1" hidden="1">
      <c r="A1208" s="8" t="s">
        <v>37</v>
      </c>
    </row>
    <row r="1209" spans="1:1" hidden="1">
      <c r="A1209" s="8" t="s">
        <v>37</v>
      </c>
    </row>
    <row r="1210" spans="1:1" hidden="1">
      <c r="A1210" s="8" t="s">
        <v>37</v>
      </c>
    </row>
    <row r="1211" spans="1:1" hidden="1">
      <c r="A1211" s="8" t="s">
        <v>35</v>
      </c>
    </row>
    <row r="1212" spans="1:1" hidden="1">
      <c r="A1212" s="8" t="s">
        <v>26</v>
      </c>
    </row>
    <row r="1213" spans="1:1" hidden="1">
      <c r="A1213" s="8" t="s">
        <v>1131</v>
      </c>
    </row>
    <row r="1214" spans="1:1" hidden="1">
      <c r="A1214" s="8" t="s">
        <v>35</v>
      </c>
    </row>
    <row r="1215" spans="1:1" hidden="1">
      <c r="A1215" s="8" t="s">
        <v>152</v>
      </c>
    </row>
    <row r="1216" spans="1:1" hidden="1">
      <c r="A1216" s="8" t="s">
        <v>37</v>
      </c>
    </row>
    <row r="1217" spans="1:1" hidden="1">
      <c r="A1217" s="8" t="s">
        <v>37</v>
      </c>
    </row>
    <row r="1218" spans="1:1" hidden="1">
      <c r="A1218" s="8" t="s">
        <v>35</v>
      </c>
    </row>
    <row r="1219" spans="1:1" hidden="1">
      <c r="A1219" s="8" t="s">
        <v>37</v>
      </c>
    </row>
    <row r="1220" spans="1:1" hidden="1">
      <c r="A1220" s="8"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selection activeCell="I7" sqref="I7"/>
    </sheetView>
  </sheetViews>
  <sheetFormatPr defaultRowHeight="15.5"/>
  <sheetData>
    <row r="1" spans="1:3">
      <c r="A1" s="3" t="s">
        <v>4</v>
      </c>
      <c r="B1" s="7" t="s">
        <v>1075</v>
      </c>
      <c r="C1" s="7" t="s">
        <v>1172</v>
      </c>
    </row>
    <row r="2" spans="1:3">
      <c r="A2" t="s">
        <v>22</v>
      </c>
      <c r="B2" t="s">
        <v>65</v>
      </c>
      <c r="C2" t="s">
        <v>25</v>
      </c>
    </row>
    <row r="3" spans="1:3">
      <c r="A3" s="8" t="s">
        <v>37</v>
      </c>
      <c r="B3" s="8" t="s">
        <v>41</v>
      </c>
      <c r="C3" t="s">
        <v>41</v>
      </c>
    </row>
    <row r="4" spans="1:3">
      <c r="A4" s="8" t="s">
        <v>193</v>
      </c>
      <c r="B4" s="8" t="s">
        <v>65</v>
      </c>
      <c r="C4" t="s">
        <v>41</v>
      </c>
    </row>
    <row r="5" spans="1:3">
      <c r="A5" s="8" t="s">
        <v>182</v>
      </c>
      <c r="B5" s="8" t="s">
        <v>25</v>
      </c>
      <c r="C5" t="s">
        <v>25</v>
      </c>
    </row>
    <row r="6" spans="1:3">
      <c r="A6" s="8" t="s">
        <v>151</v>
      </c>
      <c r="B6" s="8" t="s">
        <v>65</v>
      </c>
      <c r="C6" t="s">
        <v>25</v>
      </c>
    </row>
    <row r="7" spans="1:3">
      <c r="A7" s="8" t="s">
        <v>35</v>
      </c>
      <c r="B7" s="8" t="s">
        <v>25</v>
      </c>
      <c r="C7" t="s">
        <v>25</v>
      </c>
    </row>
    <row r="8" spans="1:3">
      <c r="A8" s="8" t="s">
        <v>152</v>
      </c>
      <c r="B8" s="8" t="s">
        <v>65</v>
      </c>
      <c r="C8" t="s">
        <v>25</v>
      </c>
    </row>
    <row r="9" spans="1:3">
      <c r="A9" s="8" t="s">
        <v>191</v>
      </c>
      <c r="B9" s="8" t="s">
        <v>65</v>
      </c>
      <c r="C9" t="s">
        <v>25</v>
      </c>
    </row>
    <row r="10" spans="1:3">
      <c r="A10" s="8" t="s">
        <v>192</v>
      </c>
      <c r="B10" s="8" t="s">
        <v>65</v>
      </c>
      <c r="C10" t="s">
        <v>25</v>
      </c>
    </row>
    <row r="11" spans="1:3">
      <c r="A11" s="8" t="s">
        <v>158</v>
      </c>
      <c r="B11" s="8" t="s">
        <v>201</v>
      </c>
      <c r="C11" t="s">
        <v>41</v>
      </c>
    </row>
    <row r="12" spans="1:3">
      <c r="A12" s="8" t="s">
        <v>273</v>
      </c>
      <c r="B12" s="8" t="s">
        <v>201</v>
      </c>
      <c r="C12" t="s">
        <v>25</v>
      </c>
    </row>
    <row r="13" spans="1:3">
      <c r="A13" s="8" t="s">
        <v>281</v>
      </c>
      <c r="B13" s="8" t="s">
        <v>201</v>
      </c>
      <c r="C13" t="s">
        <v>41</v>
      </c>
    </row>
    <row r="14" spans="1:3">
      <c r="A14" s="8" t="s">
        <v>196</v>
      </c>
      <c r="B14" s="8" t="s">
        <v>65</v>
      </c>
      <c r="C14" t="s">
        <v>25</v>
      </c>
    </row>
    <row r="15" spans="1:3">
      <c r="A15" s="8" t="s">
        <v>159</v>
      </c>
      <c r="B15" s="8" t="s">
        <v>201</v>
      </c>
      <c r="C15" t="s">
        <v>25</v>
      </c>
    </row>
    <row r="16" spans="1:3">
      <c r="A16" s="8" t="s">
        <v>154</v>
      </c>
      <c r="B16" s="8" t="s">
        <v>65</v>
      </c>
      <c r="C16" t="s">
        <v>25</v>
      </c>
    </row>
    <row r="17" spans="1:3">
      <c r="A17" s="8" t="s">
        <v>283</v>
      </c>
      <c r="B17" s="8" t="s">
        <v>65</v>
      </c>
      <c r="C17" t="s">
        <v>25</v>
      </c>
    </row>
    <row r="18" spans="1:3">
      <c r="A18" s="8" t="s">
        <v>153</v>
      </c>
      <c r="B18" s="8" t="s">
        <v>65</v>
      </c>
      <c r="C18" t="s">
        <v>41</v>
      </c>
    </row>
    <row r="19" spans="1:3">
      <c r="A19" s="8" t="s">
        <v>202</v>
      </c>
      <c r="B19" s="8" t="s">
        <v>65</v>
      </c>
      <c r="C19" t="s">
        <v>41</v>
      </c>
    </row>
    <row r="20" spans="1:3">
      <c r="A20" s="8" t="s">
        <v>203</v>
      </c>
      <c r="B20" s="8" t="s">
        <v>65</v>
      </c>
      <c r="C20" t="s">
        <v>41</v>
      </c>
    </row>
    <row r="21" spans="1:3">
      <c r="A21" s="8" t="s">
        <v>204</v>
      </c>
      <c r="B21" s="8" t="s">
        <v>65</v>
      </c>
      <c r="C21" t="s">
        <v>41</v>
      </c>
    </row>
    <row r="22" spans="1:3">
      <c r="A22" s="8" t="s">
        <v>298</v>
      </c>
      <c r="B22" s="8" t="s">
        <v>25</v>
      </c>
      <c r="C22" t="s">
        <v>25</v>
      </c>
    </row>
    <row r="23" spans="1:3">
      <c r="A23" s="8" t="s">
        <v>162</v>
      </c>
      <c r="B23" s="8" t="s">
        <v>201</v>
      </c>
      <c r="C23" t="s">
        <v>25</v>
      </c>
    </row>
    <row r="24" spans="1:3">
      <c r="A24" s="8" t="s">
        <v>156</v>
      </c>
      <c r="B24" s="8" t="s">
        <v>65</v>
      </c>
      <c r="C24" t="s">
        <v>25</v>
      </c>
    </row>
    <row r="25" spans="1:3">
      <c r="A25" s="8" t="s">
        <v>155</v>
      </c>
      <c r="B25" s="8" t="s">
        <v>65</v>
      </c>
      <c r="C25" t="s">
        <v>25</v>
      </c>
    </row>
    <row r="26" spans="1:3">
      <c r="A26" s="8" t="s">
        <v>26</v>
      </c>
      <c r="B26" s="8" t="s">
        <v>25</v>
      </c>
      <c r="C26" t="s">
        <v>25</v>
      </c>
    </row>
    <row r="27" spans="1:3">
      <c r="A27" s="8" t="s">
        <v>161</v>
      </c>
      <c r="B27" s="8" t="s">
        <v>41</v>
      </c>
      <c r="C27" t="s">
        <v>41</v>
      </c>
    </row>
    <row r="28" spans="1:3">
      <c r="A28" s="8" t="s">
        <v>324</v>
      </c>
      <c r="B28" s="8" t="s">
        <v>65</v>
      </c>
      <c r="C28" t="s">
        <v>25</v>
      </c>
    </row>
    <row r="29" spans="1:3">
      <c r="A29" s="8" t="s">
        <v>325</v>
      </c>
      <c r="B29" s="8" t="s">
        <v>65</v>
      </c>
      <c r="C29" t="s">
        <v>25</v>
      </c>
    </row>
    <row r="30" spans="1:3">
      <c r="A30" s="8" t="s">
        <v>326</v>
      </c>
      <c r="B30" s="8" t="s">
        <v>65</v>
      </c>
      <c r="C30" t="s">
        <v>25</v>
      </c>
    </row>
    <row r="31" spans="1:3">
      <c r="A31" s="8" t="s">
        <v>327</v>
      </c>
      <c r="B31" s="8" t="s">
        <v>65</v>
      </c>
      <c r="C31" t="s">
        <v>41</v>
      </c>
    </row>
    <row r="32" spans="1:3">
      <c r="A32" s="8" t="s">
        <v>222</v>
      </c>
      <c r="B32" s="8" t="s">
        <v>65</v>
      </c>
      <c r="C32" t="s">
        <v>41</v>
      </c>
    </row>
    <row r="33" spans="1:3">
      <c r="A33" s="8" t="s">
        <v>223</v>
      </c>
      <c r="B33" s="8" t="s">
        <v>65</v>
      </c>
      <c r="C33" t="s">
        <v>41</v>
      </c>
    </row>
    <row r="34" spans="1:3">
      <c r="A34" s="8" t="s">
        <v>328</v>
      </c>
      <c r="B34" s="8" t="s">
        <v>65</v>
      </c>
      <c r="C34" t="s">
        <v>41</v>
      </c>
    </row>
    <row r="35" spans="1:3">
      <c r="A35" s="8" t="s">
        <v>329</v>
      </c>
      <c r="B35" s="8" t="s">
        <v>65</v>
      </c>
      <c r="C35" t="s">
        <v>41</v>
      </c>
    </row>
    <row r="36" spans="1:3">
      <c r="A36" s="8" t="s">
        <v>330</v>
      </c>
      <c r="B36" s="8" t="s">
        <v>65</v>
      </c>
      <c r="C36" t="s">
        <v>41</v>
      </c>
    </row>
    <row r="37" spans="1:3">
      <c r="A37" s="8" t="s">
        <v>62</v>
      </c>
      <c r="B37" s="8" t="s">
        <v>65</v>
      </c>
      <c r="C37" t="s">
        <v>41</v>
      </c>
    </row>
    <row r="38" spans="1:3">
      <c r="A38" s="8" t="s">
        <v>331</v>
      </c>
      <c r="B38" s="8" t="s">
        <v>65</v>
      </c>
      <c r="C38" t="s">
        <v>41</v>
      </c>
    </row>
    <row r="39" spans="1:3">
      <c r="A39" s="8" t="s">
        <v>377</v>
      </c>
      <c r="B39" s="8" t="s">
        <v>65</v>
      </c>
      <c r="C39" t="s">
        <v>41</v>
      </c>
    </row>
    <row r="40" spans="1:3">
      <c r="A40" s="8" t="s">
        <v>386</v>
      </c>
      <c r="B40" s="8" t="s">
        <v>41</v>
      </c>
      <c r="C40" t="s">
        <v>41</v>
      </c>
    </row>
    <row r="41" spans="1:3">
      <c r="A41" s="8" t="s">
        <v>157</v>
      </c>
      <c r="B41" s="8" t="s">
        <v>65</v>
      </c>
      <c r="C41" t="s">
        <v>41</v>
      </c>
    </row>
    <row r="42" spans="1:3">
      <c r="A42" s="8" t="s">
        <v>163</v>
      </c>
      <c r="B42" s="8" t="s">
        <v>201</v>
      </c>
      <c r="C42" t="s">
        <v>25</v>
      </c>
    </row>
    <row r="43" spans="1:3">
      <c r="A43" s="8" t="s">
        <v>210</v>
      </c>
      <c r="B43" s="8" t="s">
        <v>201</v>
      </c>
      <c r="C43" t="s">
        <v>25</v>
      </c>
    </row>
    <row r="44" spans="1:3">
      <c r="A44" s="8" t="s">
        <v>243</v>
      </c>
      <c r="B44" s="8" t="s">
        <v>201</v>
      </c>
      <c r="C44" t="s">
        <v>41</v>
      </c>
    </row>
    <row r="45" spans="1:3">
      <c r="A45" t="s">
        <v>438</v>
      </c>
      <c r="B45" s="8" t="s">
        <v>201</v>
      </c>
      <c r="C45" t="s">
        <v>25</v>
      </c>
    </row>
    <row r="46" spans="1:3">
      <c r="A46" s="8" t="s">
        <v>245</v>
      </c>
      <c r="B46" s="8" t="s">
        <v>201</v>
      </c>
      <c r="C46" t="s">
        <v>25</v>
      </c>
    </row>
    <row r="47" spans="1:3">
      <c r="A47" s="8" t="s">
        <v>244</v>
      </c>
      <c r="B47" s="8" t="s">
        <v>201</v>
      </c>
      <c r="C47" t="s">
        <v>41</v>
      </c>
    </row>
    <row r="48" spans="1:3">
      <c r="A48" s="8" t="s">
        <v>1173</v>
      </c>
      <c r="B48" s="8" t="s">
        <v>201</v>
      </c>
      <c r="C48" t="s">
        <v>41</v>
      </c>
    </row>
    <row r="49" spans="1:3">
      <c r="A49" s="8" t="s">
        <v>211</v>
      </c>
      <c r="B49" s="8" t="s">
        <v>201</v>
      </c>
      <c r="C49" t="s">
        <v>25</v>
      </c>
    </row>
    <row r="50" spans="1:3">
      <c r="A50" s="8" t="s">
        <v>60</v>
      </c>
      <c r="B50" s="8" t="s">
        <v>65</v>
      </c>
      <c r="C50" t="s">
        <v>25</v>
      </c>
    </row>
    <row r="51" spans="1:3">
      <c r="A51" s="8" t="s">
        <v>246</v>
      </c>
      <c r="B51" s="8" t="s">
        <v>201</v>
      </c>
      <c r="C51" t="s">
        <v>25</v>
      </c>
    </row>
    <row r="52" spans="1:3">
      <c r="A52" s="8" t="s">
        <v>229</v>
      </c>
      <c r="B52" s="8" t="s">
        <v>65</v>
      </c>
      <c r="C52" t="s">
        <v>25</v>
      </c>
    </row>
    <row r="53" spans="1:3">
      <c r="A53" s="8" t="s">
        <v>249</v>
      </c>
      <c r="B53" s="8" t="s">
        <v>65</v>
      </c>
      <c r="C53" t="s">
        <v>41</v>
      </c>
    </row>
    <row r="54" spans="1:3">
      <c r="A54" s="8" t="s">
        <v>484</v>
      </c>
      <c r="B54" s="8" t="s">
        <v>65</v>
      </c>
      <c r="C54" t="s">
        <v>25</v>
      </c>
    </row>
    <row r="55" spans="1:3">
      <c r="A55" s="8" t="s">
        <v>485</v>
      </c>
      <c r="B55" s="8" t="s">
        <v>65</v>
      </c>
      <c r="C55" t="s">
        <v>25</v>
      </c>
    </row>
    <row r="56" spans="1:3">
      <c r="A56" s="8" t="s">
        <v>482</v>
      </c>
      <c r="B56" s="8" t="s">
        <v>65</v>
      </c>
      <c r="C56" t="s">
        <v>25</v>
      </c>
    </row>
    <row r="57" spans="1:3">
      <c r="A57" s="8" t="s">
        <v>507</v>
      </c>
      <c r="B57" s="8" t="s">
        <v>65</v>
      </c>
      <c r="C57" t="s">
        <v>25</v>
      </c>
    </row>
    <row r="58" spans="1:3">
      <c r="A58" s="8" t="s">
        <v>965</v>
      </c>
      <c r="B58" s="8" t="s">
        <v>201</v>
      </c>
      <c r="C58" t="s">
        <v>41</v>
      </c>
    </row>
    <row r="59" spans="1:3">
      <c r="A59" s="8" t="s">
        <v>252</v>
      </c>
      <c r="B59" s="8" t="s">
        <v>201</v>
      </c>
      <c r="C59" t="s">
        <v>41</v>
      </c>
    </row>
    <row r="60" spans="1:3">
      <c r="A60" s="8" t="s">
        <v>671</v>
      </c>
      <c r="B60" s="8" t="s">
        <v>65</v>
      </c>
      <c r="C60" t="s">
        <v>41</v>
      </c>
    </row>
    <row r="61" spans="1:3">
      <c r="A61" s="8" t="s">
        <v>612</v>
      </c>
      <c r="B61" s="8" t="s">
        <v>65</v>
      </c>
      <c r="C61" t="s">
        <v>41</v>
      </c>
    </row>
    <row r="62" spans="1:3">
      <c r="A62" s="8" t="s">
        <v>615</v>
      </c>
      <c r="B62" s="8" t="s">
        <v>65</v>
      </c>
      <c r="C62" t="s">
        <v>41</v>
      </c>
    </row>
    <row r="63" spans="1:3">
      <c r="A63" s="8" t="s">
        <v>18</v>
      </c>
      <c r="B63" s="8" t="s">
        <v>65</v>
      </c>
      <c r="C63" t="s">
        <v>25</v>
      </c>
    </row>
    <row r="64" spans="1:3">
      <c r="A64" s="8" t="s">
        <v>547</v>
      </c>
      <c r="B64" s="8" t="s">
        <v>201</v>
      </c>
      <c r="C64" t="s">
        <v>41</v>
      </c>
    </row>
    <row r="65" spans="1:3">
      <c r="A65" s="8" t="s">
        <v>567</v>
      </c>
      <c r="B65" s="8" t="s">
        <v>65</v>
      </c>
      <c r="C65" t="s">
        <v>41</v>
      </c>
    </row>
    <row r="66" spans="1:3">
      <c r="A66" s="8" t="s">
        <v>605</v>
      </c>
      <c r="B66" s="8" t="s">
        <v>201</v>
      </c>
      <c r="C66" t="s">
        <v>25</v>
      </c>
    </row>
    <row r="67" spans="1:3">
      <c r="A67" s="8" t="s">
        <v>610</v>
      </c>
      <c r="B67" s="8" t="s">
        <v>25</v>
      </c>
      <c r="C67" t="s">
        <v>25</v>
      </c>
    </row>
    <row r="68" spans="1:3">
      <c r="A68" s="8" t="s">
        <v>611</v>
      </c>
      <c r="B68" s="8" t="s">
        <v>65</v>
      </c>
      <c r="C68" t="s">
        <v>41</v>
      </c>
    </row>
    <row r="69" spans="1:3">
      <c r="A69" s="8" t="s">
        <v>613</v>
      </c>
      <c r="B69" s="8" t="s">
        <v>65</v>
      </c>
      <c r="C69" t="s">
        <v>41</v>
      </c>
    </row>
    <row r="70" spans="1:3">
      <c r="A70" s="8" t="s">
        <v>614</v>
      </c>
      <c r="B70" s="8" t="s">
        <v>65</v>
      </c>
      <c r="C70" t="s">
        <v>41</v>
      </c>
    </row>
    <row r="71" spans="1:3">
      <c r="A71" s="8" t="s">
        <v>616</v>
      </c>
      <c r="B71" s="8" t="s">
        <v>41</v>
      </c>
      <c r="C71" t="s">
        <v>41</v>
      </c>
    </row>
    <row r="72" spans="1:3">
      <c r="A72" s="8" t="s">
        <v>663</v>
      </c>
      <c r="B72" s="8" t="s">
        <v>65</v>
      </c>
      <c r="C72" t="s">
        <v>41</v>
      </c>
    </row>
    <row r="73" spans="1:3">
      <c r="A73" s="8" t="s">
        <v>664</v>
      </c>
      <c r="B73" s="8" t="s">
        <v>65</v>
      </c>
      <c r="C73" t="s">
        <v>41</v>
      </c>
    </row>
    <row r="74" spans="1:3">
      <c r="A74" s="8" t="s">
        <v>665</v>
      </c>
      <c r="B74" s="8" t="s">
        <v>65</v>
      </c>
      <c r="C74" t="s">
        <v>41</v>
      </c>
    </row>
    <row r="75" spans="1:3">
      <c r="A75" s="8" t="s">
        <v>666</v>
      </c>
      <c r="B75" s="8" t="s">
        <v>65</v>
      </c>
      <c r="C75" t="s">
        <v>41</v>
      </c>
    </row>
    <row r="76" spans="1:3">
      <c r="A76" s="8" t="s">
        <v>667</v>
      </c>
      <c r="B76" s="8" t="s">
        <v>65</v>
      </c>
      <c r="C76" t="s">
        <v>41</v>
      </c>
    </row>
    <row r="77" spans="1:3">
      <c r="A77" s="8" t="s">
        <v>668</v>
      </c>
      <c r="B77" s="8" t="s">
        <v>65</v>
      </c>
      <c r="C77" t="s">
        <v>41</v>
      </c>
    </row>
    <row r="78" spans="1:3">
      <c r="A78" s="8" t="s">
        <v>669</v>
      </c>
      <c r="B78" s="8" t="s">
        <v>65</v>
      </c>
      <c r="C78" t="s">
        <v>41</v>
      </c>
    </row>
    <row r="79" spans="1:3">
      <c r="A79" s="8" t="s">
        <v>670</v>
      </c>
      <c r="B79" s="8" t="s">
        <v>65</v>
      </c>
      <c r="C79" t="s">
        <v>41</v>
      </c>
    </row>
    <row r="80" spans="1:3">
      <c r="A80" s="8" t="s">
        <v>672</v>
      </c>
      <c r="B80" s="8" t="s">
        <v>65</v>
      </c>
      <c r="C80" t="s">
        <v>41</v>
      </c>
    </row>
    <row r="81" spans="1:3">
      <c r="A81" s="8" t="s">
        <v>673</v>
      </c>
      <c r="B81" s="8" t="s">
        <v>65</v>
      </c>
      <c r="C81" t="s">
        <v>41</v>
      </c>
    </row>
    <row r="82" spans="1:3">
      <c r="A82" s="8" t="s">
        <v>674</v>
      </c>
      <c r="B82" s="8" t="s">
        <v>65</v>
      </c>
      <c r="C82" t="s">
        <v>41</v>
      </c>
    </row>
    <row r="83" spans="1:3">
      <c r="A83" s="8" t="s">
        <v>675</v>
      </c>
      <c r="B83" s="8" t="s">
        <v>65</v>
      </c>
      <c r="C83" t="s">
        <v>41</v>
      </c>
    </row>
    <row r="84" spans="1:3">
      <c r="A84" s="8" t="s">
        <v>676</v>
      </c>
      <c r="B84" s="8" t="s">
        <v>65</v>
      </c>
      <c r="C84" t="s">
        <v>41</v>
      </c>
    </row>
    <row r="85" spans="1:3">
      <c r="A85" s="8" t="s">
        <v>677</v>
      </c>
      <c r="B85" s="8" t="s">
        <v>65</v>
      </c>
      <c r="C85" t="s">
        <v>41</v>
      </c>
    </row>
    <row r="86" spans="1:3">
      <c r="A86" s="8" t="s">
        <v>678</v>
      </c>
      <c r="B86" s="8" t="s">
        <v>25</v>
      </c>
      <c r="C86" t="s">
        <v>25</v>
      </c>
    </row>
    <row r="87" spans="1:3">
      <c r="A87" s="8" t="s">
        <v>679</v>
      </c>
      <c r="B87" s="8" t="s">
        <v>41</v>
      </c>
      <c r="C87" t="s">
        <v>41</v>
      </c>
    </row>
    <row r="88" spans="1:3">
      <c r="A88" s="8" t="s">
        <v>680</v>
      </c>
      <c r="B88" s="8" t="s">
        <v>201</v>
      </c>
      <c r="C88" t="s">
        <v>41</v>
      </c>
    </row>
    <row r="89" spans="1:3">
      <c r="A89" s="8" t="s">
        <v>739</v>
      </c>
      <c r="B89" s="8" t="s">
        <v>201</v>
      </c>
      <c r="C89" t="s">
        <v>25</v>
      </c>
    </row>
    <row r="90" spans="1:3">
      <c r="A90" s="8" t="s">
        <v>740</v>
      </c>
      <c r="B90" s="8" t="s">
        <v>201</v>
      </c>
      <c r="C90" t="s">
        <v>25</v>
      </c>
    </row>
    <row r="91" spans="1:3">
      <c r="A91" s="8" t="s">
        <v>910</v>
      </c>
      <c r="B91" s="8" t="s">
        <v>65</v>
      </c>
      <c r="C91" t="s">
        <v>25</v>
      </c>
    </row>
    <row r="92" spans="1:3">
      <c r="A92" s="8" t="s">
        <v>902</v>
      </c>
      <c r="B92" s="8" t="s">
        <v>65</v>
      </c>
      <c r="C92" t="s">
        <v>25</v>
      </c>
    </row>
    <row r="93" spans="1:3">
      <c r="A93" s="8" t="s">
        <v>903</v>
      </c>
      <c r="B93" s="8" t="s">
        <v>65</v>
      </c>
      <c r="C93" t="s">
        <v>25</v>
      </c>
    </row>
    <row r="94" spans="1:3">
      <c r="A94" s="8" t="s">
        <v>904</v>
      </c>
      <c r="B94" s="8" t="s">
        <v>65</v>
      </c>
      <c r="C94" t="s">
        <v>25</v>
      </c>
    </row>
    <row r="95" spans="1:3">
      <c r="A95" s="8" t="s">
        <v>905</v>
      </c>
      <c r="B95" s="8" t="s">
        <v>65</v>
      </c>
      <c r="C95" t="s">
        <v>25</v>
      </c>
    </row>
    <row r="96" spans="1:3">
      <c r="A96" s="8" t="s">
        <v>906</v>
      </c>
      <c r="B96" s="8" t="s">
        <v>65</v>
      </c>
      <c r="C96" t="s">
        <v>25</v>
      </c>
    </row>
    <row r="97" spans="1:3">
      <c r="A97" s="8" t="s">
        <v>907</v>
      </c>
      <c r="B97" s="8" t="s">
        <v>65</v>
      </c>
      <c r="C97" t="s">
        <v>25</v>
      </c>
    </row>
    <row r="98" spans="1:3">
      <c r="A98" s="8" t="s">
        <v>908</v>
      </c>
      <c r="B98" s="8" t="s">
        <v>65</v>
      </c>
      <c r="C98" t="s">
        <v>25</v>
      </c>
    </row>
    <row r="99" spans="1:3">
      <c r="A99" s="8" t="s">
        <v>909</v>
      </c>
      <c r="B99" s="8" t="s">
        <v>65</v>
      </c>
      <c r="C99" t="s">
        <v>25</v>
      </c>
    </row>
    <row r="100" spans="1:3">
      <c r="A100" s="8" t="s">
        <v>927</v>
      </c>
      <c r="B100" s="8" t="s">
        <v>201</v>
      </c>
      <c r="C100" t="s">
        <v>41</v>
      </c>
    </row>
    <row r="101" spans="1:3">
      <c r="A101" t="s">
        <v>941</v>
      </c>
      <c r="B101" s="8" t="s">
        <v>201</v>
      </c>
      <c r="C101" t="s">
        <v>25</v>
      </c>
    </row>
    <row r="102" spans="1:3">
      <c r="A102" s="8" t="s">
        <v>1131</v>
      </c>
      <c r="B102" s="8" t="s">
        <v>25</v>
      </c>
      <c r="C102" t="s">
        <v>41</v>
      </c>
    </row>
    <row r="103" spans="1:3">
      <c r="A103" s="8" t="s">
        <v>609</v>
      </c>
      <c r="B103" s="8" t="s">
        <v>41</v>
      </c>
      <c r="C103" t="s">
        <v>41</v>
      </c>
    </row>
    <row r="104" spans="1:3">
      <c r="A104" s="8" t="s">
        <v>973</v>
      </c>
      <c r="B104" s="8" t="s">
        <v>201</v>
      </c>
      <c r="C104" t="s">
        <v>25</v>
      </c>
    </row>
    <row r="105" spans="1:3">
      <c r="A105" s="8" t="s">
        <v>1006</v>
      </c>
      <c r="B105" s="8" t="s">
        <v>25</v>
      </c>
      <c r="C105" t="s">
        <v>25</v>
      </c>
    </row>
    <row r="106" spans="1:3">
      <c r="A106" s="8" t="s">
        <v>1025</v>
      </c>
      <c r="B106" s="8" t="s">
        <v>65</v>
      </c>
      <c r="C106" t="s">
        <v>41</v>
      </c>
    </row>
    <row r="107" spans="1:3">
      <c r="A107" s="8" t="s">
        <v>1054</v>
      </c>
      <c r="B107" s="8" t="s">
        <v>41</v>
      </c>
      <c r="C107" t="s">
        <v>25</v>
      </c>
    </row>
    <row r="108" spans="1:3">
      <c r="A108" s="8" t="s">
        <v>846</v>
      </c>
      <c r="B108" s="8" t="s">
        <v>201</v>
      </c>
      <c r="C108"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2" sqref="C12"/>
    </sheetView>
  </sheetViews>
  <sheetFormatPr defaultRowHeight="15.5"/>
  <sheetData>
    <row r="1" spans="1:2">
      <c r="A1" t="s">
        <v>1075</v>
      </c>
      <c r="B1" t="s">
        <v>1238</v>
      </c>
    </row>
    <row r="2" spans="1:2">
      <c r="A2" t="s">
        <v>65</v>
      </c>
      <c r="B2" t="s">
        <v>1239</v>
      </c>
    </row>
    <row r="3" spans="1:2">
      <c r="A3" t="s">
        <v>201</v>
      </c>
      <c r="B3" t="s">
        <v>1246</v>
      </c>
    </row>
    <row r="4" spans="1:2">
      <c r="A4" t="s">
        <v>25</v>
      </c>
      <c r="B4" t="s">
        <v>1240</v>
      </c>
    </row>
    <row r="5" spans="1:2">
      <c r="A5" t="s">
        <v>41</v>
      </c>
      <c r="B5" t="s">
        <v>1241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F10" sqref="F10"/>
    </sheetView>
  </sheetViews>
  <sheetFormatPr defaultRowHeight="15.5"/>
  <cols>
    <col min="2" max="2" width="15.6640625" customWidth="1"/>
  </cols>
  <sheetData>
    <row r="1" spans="1:3">
      <c r="A1" t="s">
        <v>1242</v>
      </c>
      <c r="B1" t="s">
        <v>1243</v>
      </c>
      <c r="C1" t="s">
        <v>1244</v>
      </c>
    </row>
    <row r="2" spans="1:3">
      <c r="A2" t="s">
        <v>65</v>
      </c>
      <c r="B2" t="s">
        <v>1179</v>
      </c>
      <c r="C2" t="s">
        <v>1249</v>
      </c>
    </row>
    <row r="3" spans="1:3">
      <c r="A3" t="s">
        <v>25</v>
      </c>
      <c r="B3" t="s">
        <v>1240</v>
      </c>
      <c r="C3" t="s">
        <v>1245</v>
      </c>
    </row>
    <row r="4" spans="1:3">
      <c r="A4" t="s">
        <v>41</v>
      </c>
      <c r="B4" t="s">
        <v>1241</v>
      </c>
      <c r="C4" t="s">
        <v>1247</v>
      </c>
    </row>
    <row r="5" spans="1:3">
      <c r="A5" t="s">
        <v>201</v>
      </c>
      <c r="B5" t="s">
        <v>1246</v>
      </c>
      <c r="C5"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Mediation Dataset (Sudans)</vt:lpstr>
      <vt:lpstr>Broad</vt:lpstr>
      <vt:lpstr>Specific Analysis&amp;Graphs</vt:lpstr>
      <vt:lpstr>Actor-Type</vt:lpstr>
      <vt:lpstr>actors</vt:lpstr>
      <vt:lpstr>type-key</vt:lpstr>
      <vt:lpstr>neg_type_key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HENRY Niamh</cp:lastModifiedBy>
  <dcterms:created xsi:type="dcterms:W3CDTF">2023-01-06T13:01:56Z</dcterms:created>
  <dcterms:modified xsi:type="dcterms:W3CDTF">2023-09-22T13:50:12Z</dcterms:modified>
</cp:coreProperties>
</file>